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1005" windowWidth="19815" windowHeight="6885"/>
  </bookViews>
  <sheets>
    <sheet name="Chủ trương" sheetId="11" r:id="rId1"/>
    <sheet name="MT 3-4" sheetId="10" r:id="rId2"/>
  </sheets>
  <externalReferences>
    <externalReference r:id="rId3"/>
  </externalReferences>
  <calcPr calcId="124519"/>
  <extLst>
    <ext uri="GoogleSheetsCustomDataVersion1">
      <go:sheetsCustomData xmlns:go="http://customooxmlschemas.google.com/" r:id="" roundtripDataSignature="AMtx7mhEnAoPtOVblXPhh3aWJgo/s4/5tA=="/>
    </ext>
  </extLst>
</workbook>
</file>

<file path=xl/calcChain.xml><?xml version="1.0" encoding="utf-8"?>
<calcChain xmlns="http://schemas.openxmlformats.org/spreadsheetml/2006/main">
  <c r="N409" i="10"/>
  <c r="J320" l="1"/>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19"/>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19"/>
  <c r="I320" l="1"/>
  <c r="I318"/>
  <c r="J318" s="1"/>
  <c r="H406" l="1"/>
  <c r="G406"/>
  <c r="F406"/>
  <c r="H405"/>
  <c r="G405"/>
  <c r="F405"/>
  <c r="H404"/>
  <c r="G404"/>
  <c r="F404"/>
  <c r="H403"/>
  <c r="G403"/>
  <c r="F403"/>
  <c r="H402"/>
  <c r="G402"/>
  <c r="F402"/>
  <c r="H401"/>
  <c r="G401"/>
  <c r="F401"/>
  <c r="H400"/>
  <c r="G400"/>
  <c r="F400"/>
  <c r="H399"/>
  <c r="G399"/>
  <c r="F399"/>
  <c r="H398"/>
  <c r="G398"/>
  <c r="F398"/>
  <c r="H397"/>
  <c r="G397"/>
  <c r="F397"/>
  <c r="H396"/>
  <c r="G396"/>
  <c r="F396"/>
  <c r="H395"/>
  <c r="G395"/>
  <c r="F395"/>
  <c r="H394"/>
  <c r="G394"/>
  <c r="F394"/>
  <c r="H393"/>
  <c r="G393"/>
  <c r="F393"/>
  <c r="H392"/>
  <c r="G392"/>
  <c r="F392"/>
  <c r="H391"/>
  <c r="G391"/>
  <c r="F391"/>
  <c r="H390"/>
  <c r="G390"/>
  <c r="F390"/>
  <c r="H389"/>
  <c r="G389"/>
  <c r="F389"/>
  <c r="H388"/>
  <c r="G388"/>
  <c r="F388"/>
  <c r="H387"/>
  <c r="G387"/>
  <c r="F387"/>
  <c r="H386"/>
  <c r="G386"/>
  <c r="F386"/>
  <c r="H385"/>
  <c r="G385"/>
  <c r="F385"/>
  <c r="H384"/>
  <c r="G384"/>
  <c r="F384"/>
  <c r="H383"/>
  <c r="G383"/>
  <c r="F383"/>
  <c r="H382"/>
  <c r="G382"/>
  <c r="F382"/>
  <c r="H381"/>
  <c r="G381"/>
  <c r="F381"/>
  <c r="H380"/>
  <c r="G380"/>
  <c r="F380"/>
  <c r="H379"/>
  <c r="G379"/>
  <c r="F379"/>
  <c r="H378"/>
  <c r="G378"/>
  <c r="F378"/>
  <c r="H377"/>
  <c r="G377"/>
  <c r="F377"/>
  <c r="H376"/>
  <c r="G376"/>
  <c r="F376"/>
  <c r="I370"/>
  <c r="J370" s="1"/>
  <c r="I369"/>
  <c r="J369" s="1"/>
  <c r="I368"/>
  <c r="J368" s="1"/>
  <c r="I367"/>
  <c r="J367" s="1"/>
  <c r="I366"/>
  <c r="J366" s="1"/>
  <c r="I365"/>
  <c r="J365" s="1"/>
  <c r="I364"/>
  <c r="J364" s="1"/>
  <c r="I363"/>
  <c r="J363" s="1"/>
  <c r="I362"/>
  <c r="J362" s="1"/>
  <c r="I361"/>
  <c r="J361" s="1"/>
  <c r="I360"/>
  <c r="J360" s="1"/>
  <c r="I316"/>
  <c r="J316" s="1"/>
  <c r="I315"/>
  <c r="J315" s="1"/>
  <c r="I314"/>
  <c r="J314" s="1"/>
  <c r="I313"/>
  <c r="J313" s="1"/>
  <c r="I312"/>
  <c r="J312" s="1"/>
  <c r="I311"/>
  <c r="J311" s="1"/>
  <c r="I310"/>
  <c r="J310" s="1"/>
  <c r="I309"/>
  <c r="J309" s="1"/>
  <c r="I308"/>
  <c r="J308" s="1"/>
  <c r="I307"/>
  <c r="J307" s="1"/>
  <c r="I306"/>
  <c r="J306" s="1"/>
  <c r="I305"/>
  <c r="J305" s="1"/>
  <c r="I304"/>
  <c r="J304" s="1"/>
  <c r="I303"/>
  <c r="J303" s="1"/>
  <c r="I302"/>
  <c r="J302" s="1"/>
  <c r="I301"/>
  <c r="J301" s="1"/>
  <c r="I300"/>
  <c r="J300" s="1"/>
  <c r="I299"/>
  <c r="J299" s="1"/>
  <c r="I298"/>
  <c r="J298" s="1"/>
  <c r="I297"/>
  <c r="J297" s="1"/>
  <c r="I296"/>
  <c r="J296" s="1"/>
  <c r="I295"/>
  <c r="J295" s="1"/>
  <c r="I294"/>
  <c r="J294" s="1"/>
  <c r="I293"/>
  <c r="J293" s="1"/>
  <c r="I292"/>
  <c r="J292" s="1"/>
  <c r="I291"/>
  <c r="J291" s="1"/>
  <c r="I290"/>
  <c r="J290" s="1"/>
  <c r="I289"/>
  <c r="J289" s="1"/>
  <c r="I288"/>
  <c r="J288" s="1"/>
  <c r="I287"/>
  <c r="J287" s="1"/>
  <c r="I286"/>
  <c r="J286" s="1"/>
  <c r="I285"/>
  <c r="J285" s="1"/>
  <c r="I284"/>
  <c r="J284" s="1"/>
  <c r="I283"/>
  <c r="J283" s="1"/>
  <c r="I282"/>
  <c r="J282" s="1"/>
  <c r="I281"/>
  <c r="J281" s="1"/>
  <c r="I280"/>
  <c r="J280" s="1"/>
  <c r="I279"/>
  <c r="J279" s="1"/>
  <c r="I278"/>
  <c r="J278" s="1"/>
  <c r="I277"/>
  <c r="J277" s="1"/>
  <c r="I276"/>
  <c r="J276" s="1"/>
  <c r="I275"/>
  <c r="J275" s="1"/>
  <c r="I274"/>
  <c r="J274" s="1"/>
  <c r="I273"/>
  <c r="J273" s="1"/>
  <c r="I272"/>
  <c r="J272" s="1"/>
  <c r="I271"/>
  <c r="J271" s="1"/>
  <c r="I270"/>
  <c r="J270" s="1"/>
  <c r="I269"/>
  <c r="J269" s="1"/>
  <c r="I268"/>
  <c r="J268" s="1"/>
  <c r="I267"/>
  <c r="J267" s="1"/>
  <c r="I266"/>
  <c r="J266" s="1"/>
  <c r="I265"/>
  <c r="J265" s="1"/>
  <c r="I264"/>
  <c r="J264" s="1"/>
  <c r="I263"/>
  <c r="J263" s="1"/>
  <c r="I262"/>
  <c r="J262" s="1"/>
  <c r="I261"/>
  <c r="J261" s="1"/>
  <c r="I260"/>
  <c r="J260" s="1"/>
  <c r="I259"/>
  <c r="J259" s="1"/>
  <c r="I258"/>
  <c r="J258" s="1"/>
  <c r="I257"/>
  <c r="J257" s="1"/>
  <c r="I256"/>
  <c r="J256" s="1"/>
  <c r="I255"/>
  <c r="J255" s="1"/>
  <c r="I254"/>
  <c r="J254" s="1"/>
  <c r="I253"/>
  <c r="J253" s="1"/>
  <c r="I252"/>
  <c r="J252" s="1"/>
  <c r="I251"/>
  <c r="J251" s="1"/>
  <c r="I250"/>
  <c r="J250" s="1"/>
  <c r="I249"/>
  <c r="J249" s="1"/>
  <c r="I248"/>
  <c r="J248" s="1"/>
  <c r="I247"/>
  <c r="J247" s="1"/>
  <c r="I246"/>
  <c r="J246" s="1"/>
  <c r="I245"/>
  <c r="J245" s="1"/>
  <c r="I244"/>
  <c r="J244" s="1"/>
  <c r="I243"/>
  <c r="J243" s="1"/>
  <c r="I242"/>
  <c r="J242" s="1"/>
  <c r="I241"/>
  <c r="J241" s="1"/>
  <c r="I240"/>
  <c r="J240" s="1"/>
  <c r="I239"/>
  <c r="J239" s="1"/>
  <c r="I238"/>
  <c r="J238" s="1"/>
  <c r="I237"/>
  <c r="J237" s="1"/>
  <c r="I236"/>
  <c r="J236" s="1"/>
  <c r="I235"/>
  <c r="J235" s="1"/>
  <c r="I234"/>
  <c r="J234" s="1"/>
  <c r="I233"/>
  <c r="J233" s="1"/>
  <c r="I232"/>
  <c r="J232" s="1"/>
  <c r="I231"/>
  <c r="J231" s="1"/>
  <c r="I230"/>
  <c r="J230" s="1"/>
  <c r="I229"/>
  <c r="J229" s="1"/>
  <c r="I228"/>
  <c r="J228" s="1"/>
  <c r="I227"/>
  <c r="J227" s="1"/>
  <c r="I226"/>
  <c r="J226" s="1"/>
  <c r="I225"/>
  <c r="J225" s="1"/>
  <c r="I224"/>
  <c r="J224" s="1"/>
  <c r="I223"/>
  <c r="J223" s="1"/>
  <c r="I222"/>
  <c r="J222" s="1"/>
  <c r="I221"/>
  <c r="J221" s="1"/>
  <c r="I220"/>
  <c r="J220" s="1"/>
  <c r="I219"/>
  <c r="J219" s="1"/>
  <c r="H213"/>
  <c r="G213"/>
  <c r="F213"/>
  <c r="H212"/>
  <c r="G212"/>
  <c r="F212"/>
  <c r="H211"/>
  <c r="G211"/>
  <c r="F211"/>
  <c r="H210"/>
  <c r="G210"/>
  <c r="F210"/>
  <c r="H209"/>
  <c r="G209"/>
  <c r="F209"/>
  <c r="H208"/>
  <c r="G208"/>
  <c r="F208"/>
  <c r="H207"/>
  <c r="G207"/>
  <c r="F207"/>
  <c r="H206"/>
  <c r="G206"/>
  <c r="F206"/>
  <c r="H205"/>
  <c r="G205"/>
  <c r="F205"/>
  <c r="H204"/>
  <c r="G204"/>
  <c r="F204"/>
  <c r="H203"/>
  <c r="G203"/>
  <c r="F203"/>
  <c r="H202"/>
  <c r="G202"/>
  <c r="F202"/>
  <c r="H201"/>
  <c r="G201"/>
  <c r="F201"/>
  <c r="H200"/>
  <c r="G200"/>
  <c r="F200"/>
  <c r="H199"/>
  <c r="G199"/>
  <c r="F199"/>
  <c r="H198"/>
  <c r="G198"/>
  <c r="F198"/>
  <c r="H197"/>
  <c r="G197"/>
  <c r="F197"/>
  <c r="H196"/>
  <c r="G196"/>
  <c r="F196"/>
  <c r="H195"/>
  <c r="G195"/>
  <c r="F195"/>
  <c r="H194"/>
  <c r="G194"/>
  <c r="F194"/>
  <c r="H193"/>
  <c r="G193"/>
  <c r="F193"/>
  <c r="H192"/>
  <c r="G192"/>
  <c r="F192"/>
  <c r="H191"/>
  <c r="G191"/>
  <c r="F191"/>
  <c r="H190"/>
  <c r="G190"/>
  <c r="F190"/>
  <c r="H189"/>
  <c r="G189"/>
  <c r="F189"/>
  <c r="H188"/>
  <c r="G188"/>
  <c r="F188"/>
  <c r="H187"/>
  <c r="G187"/>
  <c r="F187"/>
  <c r="H186"/>
  <c r="G186"/>
  <c r="F186"/>
  <c r="H185"/>
  <c r="G185"/>
  <c r="F185"/>
  <c r="H184"/>
  <c r="G184"/>
  <c r="F184"/>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H170"/>
  <c r="G170"/>
  <c r="F170"/>
  <c r="H169"/>
  <c r="G169"/>
  <c r="F169"/>
  <c r="H168"/>
  <c r="G168"/>
  <c r="F168"/>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I382" l="1"/>
  <c r="J382" s="1"/>
  <c r="I389"/>
  <c r="J389" s="1"/>
  <c r="I396"/>
  <c r="J396" s="1"/>
  <c r="I405"/>
  <c r="J405" s="1"/>
  <c r="I377"/>
  <c r="J377" s="1"/>
  <c r="I381"/>
  <c r="J381" s="1"/>
  <c r="I385"/>
  <c r="J385" s="1"/>
  <c r="I159"/>
  <c r="J159" s="1"/>
  <c r="I191"/>
  <c r="J191" s="1"/>
  <c r="I195"/>
  <c r="J195" s="1"/>
  <c r="I203"/>
  <c r="J203" s="1"/>
  <c r="I207"/>
  <c r="J207" s="1"/>
  <c r="I380"/>
  <c r="J380" s="1"/>
  <c r="I393"/>
  <c r="J393" s="1"/>
  <c r="I397"/>
  <c r="J397" s="1"/>
  <c r="I398"/>
  <c r="J398" s="1"/>
  <c r="I401"/>
  <c r="J401" s="1"/>
  <c r="I391"/>
  <c r="J391" s="1"/>
  <c r="I175"/>
  <c r="J175" s="1"/>
  <c r="I180"/>
  <c r="J180" s="1"/>
  <c r="I182"/>
  <c r="J182" s="1"/>
  <c r="I183"/>
  <c r="J183" s="1"/>
  <c r="J218"/>
  <c r="I379"/>
  <c r="J379" s="1"/>
  <c r="I384"/>
  <c r="J384" s="1"/>
  <c r="I386"/>
  <c r="J386" s="1"/>
  <c r="I395"/>
  <c r="J395" s="1"/>
  <c r="I400"/>
  <c r="J400" s="1"/>
  <c r="I402"/>
  <c r="J402" s="1"/>
  <c r="I164"/>
  <c r="J164" s="1"/>
  <c r="I161"/>
  <c r="J161" s="1"/>
  <c r="I383"/>
  <c r="J383" s="1"/>
  <c r="I388"/>
  <c r="J388" s="1"/>
  <c r="I390"/>
  <c r="J390" s="1"/>
  <c r="I399"/>
  <c r="J399" s="1"/>
  <c r="I404"/>
  <c r="J404" s="1"/>
  <c r="I406"/>
  <c r="J406" s="1"/>
  <c r="I376"/>
  <c r="J376" s="1"/>
  <c r="I378"/>
  <c r="J378" s="1"/>
  <c r="I387"/>
  <c r="J387" s="1"/>
  <c r="I392"/>
  <c r="J392" s="1"/>
  <c r="I394"/>
  <c r="J394" s="1"/>
  <c r="I403"/>
  <c r="J403" s="1"/>
  <c r="J371"/>
  <c r="J317"/>
  <c r="I177"/>
  <c r="J177" s="1"/>
  <c r="I196"/>
  <c r="J196" s="1"/>
  <c r="I198"/>
  <c r="J198" s="1"/>
  <c r="I199"/>
  <c r="J199" s="1"/>
  <c r="I211"/>
  <c r="J211" s="1"/>
  <c r="I156"/>
  <c r="J156" s="1"/>
  <c r="I163"/>
  <c r="J163" s="1"/>
  <c r="I171"/>
  <c r="J171" s="1"/>
  <c r="I193"/>
  <c r="J193" s="1"/>
  <c r="I212"/>
  <c r="J212" s="1"/>
  <c r="I166"/>
  <c r="J166" s="1"/>
  <c r="I167"/>
  <c r="J167" s="1"/>
  <c r="I179"/>
  <c r="J179" s="1"/>
  <c r="I187"/>
  <c r="J187" s="1"/>
  <c r="I209"/>
  <c r="J209" s="1"/>
  <c r="I158"/>
  <c r="J158" s="1"/>
  <c r="I169"/>
  <c r="J169" s="1"/>
  <c r="I172"/>
  <c r="J172" s="1"/>
  <c r="I174"/>
  <c r="J174" s="1"/>
  <c r="I185"/>
  <c r="J185" s="1"/>
  <c r="I188"/>
  <c r="J188" s="1"/>
  <c r="I190"/>
  <c r="J190" s="1"/>
  <c r="I201"/>
  <c r="J201" s="1"/>
  <c r="I204"/>
  <c r="J204" s="1"/>
  <c r="I206"/>
  <c r="J206" s="1"/>
  <c r="I157"/>
  <c r="J157" s="1"/>
  <c r="I160"/>
  <c r="J160" s="1"/>
  <c r="I162"/>
  <c r="J162" s="1"/>
  <c r="I173"/>
  <c r="J173" s="1"/>
  <c r="I176"/>
  <c r="J176" s="1"/>
  <c r="I178"/>
  <c r="J178" s="1"/>
  <c r="I189"/>
  <c r="J189" s="1"/>
  <c r="I192"/>
  <c r="J192" s="1"/>
  <c r="I194"/>
  <c r="J194" s="1"/>
  <c r="I205"/>
  <c r="J205" s="1"/>
  <c r="I208"/>
  <c r="J208" s="1"/>
  <c r="I210"/>
  <c r="J210" s="1"/>
  <c r="I165"/>
  <c r="J165" s="1"/>
  <c r="I168"/>
  <c r="J168" s="1"/>
  <c r="I170"/>
  <c r="J170" s="1"/>
  <c r="I181"/>
  <c r="J181" s="1"/>
  <c r="I184"/>
  <c r="J184" s="1"/>
  <c r="I186"/>
  <c r="J186" s="1"/>
  <c r="I197"/>
  <c r="J197" s="1"/>
  <c r="I200"/>
  <c r="J200" s="1"/>
  <c r="I202"/>
  <c r="J202" s="1"/>
  <c r="I213"/>
  <c r="J213" s="1"/>
  <c r="J407" l="1"/>
  <c r="J356"/>
  <c r="J214"/>
  <c r="I148" l="1"/>
  <c r="J148" s="1"/>
  <c r="I147"/>
  <c r="J147" s="1"/>
  <c r="I146"/>
  <c r="J146" s="1"/>
  <c r="I145"/>
  <c r="J145" s="1"/>
  <c r="I144"/>
  <c r="J144" s="1"/>
  <c r="I143"/>
  <c r="J143" s="1"/>
  <c r="I142"/>
  <c r="J142" s="1"/>
  <c r="I141"/>
  <c r="J141" s="1"/>
  <c r="I140"/>
  <c r="J140" s="1"/>
  <c r="I139"/>
  <c r="J139" s="1"/>
  <c r="I138"/>
  <c r="J138" s="1"/>
  <c r="I137"/>
  <c r="J137" s="1"/>
  <c r="I136"/>
  <c r="J136" s="1"/>
  <c r="I135"/>
  <c r="J135" s="1"/>
  <c r="I134"/>
  <c r="J134" s="1"/>
  <c r="I133"/>
  <c r="J133" s="1"/>
  <c r="I132"/>
  <c r="J132" s="1"/>
  <c r="I131"/>
  <c r="J131" s="1"/>
  <c r="I130"/>
  <c r="J130" s="1"/>
  <c r="I129"/>
  <c r="J129" s="1"/>
  <c r="I128"/>
  <c r="J128" s="1"/>
  <c r="I127"/>
  <c r="J127" s="1"/>
  <c r="I126"/>
  <c r="J126" s="1"/>
  <c r="I125"/>
  <c r="J125" s="1"/>
  <c r="I124"/>
  <c r="J124" s="1"/>
  <c r="I123"/>
  <c r="J123" s="1"/>
  <c r="I122"/>
  <c r="J122" s="1"/>
  <c r="I121"/>
  <c r="J121" s="1"/>
  <c r="I120"/>
  <c r="J120" s="1"/>
  <c r="I119"/>
  <c r="J119" s="1"/>
  <c r="I118"/>
  <c r="J118" s="1"/>
  <c r="I117"/>
  <c r="J117" s="1"/>
  <c r="I116"/>
  <c r="J116" s="1"/>
  <c r="I115"/>
  <c r="J115" s="1"/>
  <c r="I114"/>
  <c r="J114" s="1"/>
  <c r="I113"/>
  <c r="J113" s="1"/>
  <c r="I112"/>
  <c r="J112" s="1"/>
  <c r="I111"/>
  <c r="J111" s="1"/>
  <c r="I110"/>
  <c r="J110" s="1"/>
  <c r="I109"/>
  <c r="J109" s="1"/>
  <c r="I108"/>
  <c r="J108" s="1"/>
  <c r="I107"/>
  <c r="J107" s="1"/>
  <c r="I106"/>
  <c r="J106" s="1"/>
  <c r="I105"/>
  <c r="J105" s="1"/>
  <c r="I104"/>
  <c r="J104" s="1"/>
  <c r="I103"/>
  <c r="J103" s="1"/>
  <c r="I102"/>
  <c r="J102" s="1"/>
  <c r="I101"/>
  <c r="J101" s="1"/>
  <c r="I100"/>
  <c r="J100" s="1"/>
  <c r="I99"/>
  <c r="J99" s="1"/>
  <c r="I98"/>
  <c r="J98" s="1"/>
  <c r="I97"/>
  <c r="J97" s="1"/>
  <c r="I96"/>
  <c r="J96" s="1"/>
  <c r="I82"/>
  <c r="J82" s="1"/>
  <c r="I81"/>
  <c r="J81" s="1"/>
  <c r="I80"/>
  <c r="J80" s="1"/>
  <c r="I79"/>
  <c r="J79" s="1"/>
  <c r="I78"/>
  <c r="J78" s="1"/>
  <c r="I77"/>
  <c r="J77" s="1"/>
  <c r="I76"/>
  <c r="J76" s="1"/>
  <c r="I75"/>
  <c r="J75" s="1"/>
  <c r="I74"/>
  <c r="J74" s="1"/>
  <c r="I73"/>
  <c r="J73" s="1"/>
  <c r="I72"/>
  <c r="J72" s="1"/>
  <c r="I71"/>
  <c r="J71" s="1"/>
  <c r="I70"/>
  <c r="J70" s="1"/>
  <c r="I69"/>
  <c r="J69" s="1"/>
  <c r="I68"/>
  <c r="J68" s="1"/>
  <c r="I67"/>
  <c r="J67" s="1"/>
  <c r="I66"/>
  <c r="J66" s="1"/>
  <c r="I65"/>
  <c r="J65" s="1"/>
  <c r="I64"/>
  <c r="J64" s="1"/>
  <c r="I63"/>
  <c r="J63" s="1"/>
  <c r="I62"/>
  <c r="J62" s="1"/>
  <c r="I61"/>
  <c r="J61" s="1"/>
  <c r="I60"/>
  <c r="J60" s="1"/>
  <c r="I59"/>
  <c r="J59" s="1"/>
  <c r="I58"/>
  <c r="J58" s="1"/>
  <c r="I57"/>
  <c r="J57" s="1"/>
  <c r="I56"/>
  <c r="J56" s="1"/>
  <c r="I55"/>
  <c r="J55" s="1"/>
  <c r="I54"/>
  <c r="J54" s="1"/>
  <c r="I53"/>
  <c r="J53" s="1"/>
  <c r="I52"/>
  <c r="J52" s="1"/>
  <c r="I51"/>
  <c r="J51" s="1"/>
  <c r="I50"/>
  <c r="J50" s="1"/>
  <c r="I49"/>
  <c r="J49" s="1"/>
  <c r="I48"/>
  <c r="J48" s="1"/>
  <c r="I47"/>
  <c r="J47" s="1"/>
  <c r="I46"/>
  <c r="J46" s="1"/>
  <c r="I45"/>
  <c r="J45" s="1"/>
  <c r="I44"/>
  <c r="J44" s="1"/>
  <c r="I43"/>
  <c r="J43" s="1"/>
  <c r="I42"/>
  <c r="J42" s="1"/>
  <c r="I41"/>
  <c r="J41" s="1"/>
  <c r="I40"/>
  <c r="J40" s="1"/>
  <c r="I39"/>
  <c r="J39" s="1"/>
  <c r="I38"/>
  <c r="J38" s="1"/>
  <c r="I37"/>
  <c r="J37" s="1"/>
  <c r="I36"/>
  <c r="J36" s="1"/>
  <c r="I35"/>
  <c r="J35" s="1"/>
  <c r="I34"/>
  <c r="J34" s="1"/>
  <c r="I33"/>
  <c r="J33" s="1"/>
  <c r="I32"/>
  <c r="J32" s="1"/>
  <c r="I31"/>
  <c r="J31" s="1"/>
  <c r="I30"/>
  <c r="J30" s="1"/>
  <c r="I29"/>
  <c r="J29" s="1"/>
  <c r="I28"/>
  <c r="J28" s="1"/>
  <c r="I27"/>
  <c r="J27" s="1"/>
  <c r="I26"/>
  <c r="J26" s="1"/>
  <c r="I25"/>
  <c r="J25" s="1"/>
  <c r="I24"/>
  <c r="J24" s="1"/>
  <c r="I23"/>
  <c r="J23" s="1"/>
  <c r="I22"/>
  <c r="J22" s="1"/>
  <c r="I21"/>
  <c r="J21" s="1"/>
  <c r="I20"/>
  <c r="J20" s="1"/>
  <c r="I19"/>
  <c r="J19" s="1"/>
  <c r="I18"/>
  <c r="J18" s="1"/>
  <c r="I17"/>
  <c r="J17" s="1"/>
  <c r="I16"/>
  <c r="J16" s="1"/>
  <c r="I15"/>
  <c r="J15" s="1"/>
  <c r="J149" l="1"/>
  <c r="J83"/>
  <c r="J409" l="1"/>
  <c r="A410"/>
</calcChain>
</file>

<file path=xl/sharedStrings.xml><?xml version="1.0" encoding="utf-8"?>
<sst xmlns="http://schemas.openxmlformats.org/spreadsheetml/2006/main" count="2100" uniqueCount="482">
  <si>
    <t>SỞ Y TẾ QUẢNG NGÃI</t>
  </si>
  <si>
    <t>DANH MỤC VẬT TƯ, DỤNG CỤ, HÓA CHẤT DỰ KIẾN MUA NĂM 2020</t>
  </si>
  <si>
    <t>STT</t>
  </si>
  <si>
    <t>Nước sản xuất</t>
  </si>
  <si>
    <t>Ghi chú</t>
  </si>
  <si>
    <t>I. HÓA CHẤT RẮN</t>
  </si>
  <si>
    <t>Đơn vị tính: VNĐ</t>
  </si>
  <si>
    <t>Tên hàng dự kiến</t>
  </si>
  <si>
    <t>Đơn vị tính</t>
  </si>
  <si>
    <t>Đơn giá dự kiến</t>
  </si>
  <si>
    <t>Thành tiền dự kiến</t>
  </si>
  <si>
    <t>Sigma-aldrich</t>
  </si>
  <si>
    <t>Lọ 10g</t>
  </si>
  <si>
    <t>PA</t>
  </si>
  <si>
    <t>Lọ 5g</t>
  </si>
  <si>
    <t>Lọ 25g</t>
  </si>
  <si>
    <t xml:space="preserve">Acid citric </t>
  </si>
  <si>
    <t>Merck</t>
  </si>
  <si>
    <t xml:space="preserve">Acid oxalic </t>
  </si>
  <si>
    <t>Acid salicylic</t>
  </si>
  <si>
    <t>Ammonium Acetat</t>
  </si>
  <si>
    <t>Ammonium dihydrogenphosphat</t>
  </si>
  <si>
    <t>Lọ 1Kg</t>
  </si>
  <si>
    <t>Ammonium iron (II) sulfat hexahydrat</t>
  </si>
  <si>
    <t>Lọ 250g</t>
  </si>
  <si>
    <t>Argent Nitrat (Silver Nitrat)</t>
  </si>
  <si>
    <t>Prolabo</t>
  </si>
  <si>
    <t>Lọ 100g</t>
  </si>
  <si>
    <t>Bactident Oxidase</t>
  </si>
  <si>
    <t>Lọ 500g</t>
  </si>
  <si>
    <t>Bộ thuốc nhuộm Gram</t>
  </si>
  <si>
    <t>Brilliant green</t>
  </si>
  <si>
    <t>Clostridium Perfringens Supplement (TSC)
(D-Cycloseryne)</t>
  </si>
  <si>
    <t>Creatine monohydrate</t>
  </si>
  <si>
    <t>Di ammonium hydrogen phosphat</t>
  </si>
  <si>
    <t>Di Potassium hydrogen phosphat trihydrat</t>
  </si>
  <si>
    <t xml:space="preserve">Di-Sodium hydrogen phosphate dihydrate </t>
  </si>
  <si>
    <t>Dry heat indicator labels (Chỉ thị nhiệt)</t>
  </si>
  <si>
    <t>Crosstex</t>
  </si>
  <si>
    <t>Hộp 100 chỉ thị</t>
  </si>
  <si>
    <t>Egg Yolk emulsion</t>
  </si>
  <si>
    <t>Chai 100ml</t>
  </si>
  <si>
    <t xml:space="preserve">Egg yolk tellurite emulsion </t>
  </si>
  <si>
    <t>Eriochrome black T</t>
  </si>
  <si>
    <t>Hydroxylammonium chlorid</t>
  </si>
  <si>
    <t xml:space="preserve">Iod </t>
  </si>
  <si>
    <t>Iron (II) clorid</t>
  </si>
  <si>
    <t>Iron (II) sul fat</t>
  </si>
  <si>
    <t>Iron (III) sulfate hydrate</t>
  </si>
  <si>
    <t>Chai 1L</t>
  </si>
  <si>
    <t>Kẽm hạt</t>
  </si>
  <si>
    <t>Lọ</t>
  </si>
  <si>
    <t>Magnesium sulfat heptahydrat</t>
  </si>
  <si>
    <t>Cl</t>
  </si>
  <si>
    <t>N, N–dimethyl–1,4– phenylediamonium dicloride</t>
  </si>
  <si>
    <t>Ninhydrin</t>
  </si>
  <si>
    <t>ONPG SINGLE DISCS</t>
  </si>
  <si>
    <t xml:space="preserve">Pepsin </t>
  </si>
  <si>
    <t>Potassium bromat</t>
  </si>
  <si>
    <t>Potassium clorid</t>
  </si>
  <si>
    <t>Potassium dihydrogen phosphate</t>
  </si>
  <si>
    <t>Potassium hydroxyde</t>
  </si>
  <si>
    <t>Potassium iodat</t>
  </si>
  <si>
    <t>Pseudomonas CN Selective Supplement</t>
  </si>
  <si>
    <t>Sodium Acetat Trihydrate</t>
  </si>
  <si>
    <t>Sodium butansulfonat</t>
  </si>
  <si>
    <t>Himedia</t>
  </si>
  <si>
    <t>Sodium chloride</t>
  </si>
  <si>
    <t>Sodium dihydrogenphosphat</t>
  </si>
  <si>
    <t>Sodium disulfit</t>
  </si>
  <si>
    <t>Sodium heptansulfonat</t>
  </si>
  <si>
    <t>Sodium hydroxyde</t>
  </si>
  <si>
    <t>TỔNG CỘNG</t>
  </si>
  <si>
    <t>Sodium pentansulfonat</t>
  </si>
  <si>
    <t xml:space="preserve">Sodium sulfat </t>
  </si>
  <si>
    <t>Spore Strips (Chỉ thị sinh học)</t>
  </si>
  <si>
    <t>Tetra -n- butylammoni hydrogensulfat</t>
  </si>
  <si>
    <t>Tinh bột</t>
  </si>
  <si>
    <t xml:space="preserve">Vanillin </t>
  </si>
  <si>
    <t>II. HÓA CHẤT LỎNG</t>
  </si>
  <si>
    <t>4 – Methoxy benzandehyde (p-Anisaldehyde)</t>
  </si>
  <si>
    <t>Aceton</t>
  </si>
  <si>
    <t>Chai 2,5L</t>
  </si>
  <si>
    <t>Acid acetic glacical 100%</t>
  </si>
  <si>
    <t>VWR Chemical</t>
  </si>
  <si>
    <t>Acid clohydrid 37%</t>
  </si>
  <si>
    <t>Acid formic</t>
  </si>
  <si>
    <t>Acid hydroclorid 0.1N</t>
  </si>
  <si>
    <t>Ống</t>
  </si>
  <si>
    <t>Acid nitric 65%</t>
  </si>
  <si>
    <t>Acid Perchloric 0,1N</t>
  </si>
  <si>
    <t>Acid phosphoric  85%</t>
  </si>
  <si>
    <t>Acid sulfuric 0.1N</t>
  </si>
  <si>
    <t>Ammonia solution 25%</t>
  </si>
  <si>
    <t xml:space="preserve">Anilin </t>
  </si>
  <si>
    <t>Chloroform</t>
  </si>
  <si>
    <t>Cyclohexan</t>
  </si>
  <si>
    <t>Diclomethan (methylen clorid)</t>
  </si>
  <si>
    <t>Diethyl ether</t>
  </si>
  <si>
    <t xml:space="preserve">Diethylamin </t>
  </si>
  <si>
    <t>Dimethylformamide</t>
  </si>
  <si>
    <t>Dimethylsulfoxid</t>
  </si>
  <si>
    <t>Dung dịch đệm chuẩn pH 4,0</t>
  </si>
  <si>
    <t>Metrohm</t>
  </si>
  <si>
    <t>Chai 500ml</t>
  </si>
  <si>
    <t>Dung dịch đệm chuẩn pH 7,0</t>
  </si>
  <si>
    <t>Ethanol absolution</t>
  </si>
  <si>
    <t>Macron</t>
  </si>
  <si>
    <t>Formaldehyde solution</t>
  </si>
  <si>
    <t>Glycerin</t>
  </si>
  <si>
    <t>Hydrogen peroxid 30%</t>
  </si>
  <si>
    <t>Methanol  thường</t>
  </si>
  <si>
    <t>Methanol HPLC</t>
  </si>
  <si>
    <t>Natri hypoclorid</t>
  </si>
  <si>
    <t>N-Heptan</t>
  </si>
  <si>
    <t xml:space="preserve">N-Hexan </t>
  </si>
  <si>
    <t>Silver nitrat 0.1N</t>
  </si>
  <si>
    <t xml:space="preserve"> Ống</t>
  </si>
  <si>
    <t>Sodium hydroxyd 0.1N</t>
  </si>
  <si>
    <t>Sodium thiosulfat 0.1N</t>
  </si>
  <si>
    <t>Solvent Karl fischer</t>
  </si>
  <si>
    <t xml:space="preserve">Tetrahydrofuran </t>
  </si>
  <si>
    <t>Titrant 5</t>
  </si>
  <si>
    <t>Toluen</t>
  </si>
  <si>
    <t>Triethylamin</t>
  </si>
  <si>
    <t>Triplex III solution 0.1N (EDTA)</t>
  </si>
  <si>
    <t>Xylene</t>
  </si>
  <si>
    <t>III. MÔI TRƯỜNG</t>
  </si>
  <si>
    <t>Agar agar</t>
  </si>
  <si>
    <t>Antibiotic  medium A with pH 7.9</t>
  </si>
  <si>
    <t>Antibiotic  medium E</t>
  </si>
  <si>
    <t>Antibiotic  medium F</t>
  </si>
  <si>
    <t>Baird Parker Agar Base</t>
  </si>
  <si>
    <t>Beef Extract Powder</t>
  </si>
  <si>
    <t>Bile Esculin azide agar</t>
  </si>
  <si>
    <t>Bismuth sulfite agar</t>
  </si>
  <si>
    <t>Brain Heart Infusion Broth</t>
  </si>
  <si>
    <t>Brilliant Green Agar Modified</t>
  </si>
  <si>
    <t>Brilliant Green Bile Broth 2% (Iso 4831-Iso 4832)</t>
  </si>
  <si>
    <t>Buffered Pepton Water (Đệm pepton)</t>
  </si>
  <si>
    <t>Cetrimid agar base</t>
  </si>
  <si>
    <t>Chromo candida agar</t>
  </si>
  <si>
    <t>Coliform agar</t>
  </si>
  <si>
    <t>Corn meal agar</t>
  </si>
  <si>
    <t>DEV Tryptophan Broth</t>
  </si>
  <si>
    <t>Dichloran glycerol agar (DG18)</t>
  </si>
  <si>
    <t>DRBC Agar</t>
  </si>
  <si>
    <t>EC broth</t>
  </si>
  <si>
    <t>Eosin methylene blue agar (E.M.B)</t>
  </si>
  <si>
    <t>Hicrome Candida Differential Agar</t>
  </si>
  <si>
    <t>Lactose broth</t>
  </si>
  <si>
    <t>Lactose Sulphite Broth Base</t>
  </si>
  <si>
    <t>Lauryl sulphate broth</t>
  </si>
  <si>
    <t>Letheen Agar modified</t>
  </si>
  <si>
    <t>Letheen broth modified</t>
  </si>
  <si>
    <t>Lysine Decarboxylase Broth</t>
  </si>
  <si>
    <t>MacConkey agar</t>
  </si>
  <si>
    <t>MacConkey broth</t>
  </si>
  <si>
    <t>Mannitol salt agar</t>
  </si>
  <si>
    <t>Meat extract powder</t>
  </si>
  <si>
    <t>Meat pepton</t>
  </si>
  <si>
    <t>Mossel broth</t>
  </si>
  <si>
    <t>MRS broth</t>
  </si>
  <si>
    <t>Mueller Kauffman Broth Base With Novobiocin And Brillient Green (MKTTN) Iso 6579</t>
  </si>
  <si>
    <t xml:space="preserve">Pepton from casein </t>
  </si>
  <si>
    <t>Plate Count Agar (PCA)</t>
  </si>
  <si>
    <t>Potato dextrose agar</t>
  </si>
  <si>
    <t>Pseudomonas agar F (base)</t>
  </si>
  <si>
    <t>Pseudomonas agar P (base)</t>
  </si>
  <si>
    <t>Rappaport Soy Broth (Vasiliadis) (RVS)</t>
  </si>
  <si>
    <t>Sabouraud – 2% dextrose broth</t>
  </si>
  <si>
    <t>Sabouraud – 4% dextrose agar</t>
  </si>
  <si>
    <t>Selenite cystine broth</t>
  </si>
  <si>
    <t>Sodium chloride pepton broth</t>
  </si>
  <si>
    <t>T.S.C Agar Base Iso 7937</t>
  </si>
  <si>
    <t>Tetrathionate</t>
  </si>
  <si>
    <t>Thạch Pseudomonas CN</t>
  </si>
  <si>
    <t>Thạch sắt 3 đường</t>
  </si>
  <si>
    <t>Thioglycolat Fluid Medium</t>
  </si>
  <si>
    <t>Tryptic soy agar (TSA)</t>
  </si>
  <si>
    <t>Tryptic Soy Broth (TSB)</t>
  </si>
  <si>
    <t>Tryptone Bile Glucuronic Agar (TBX agar)</t>
  </si>
  <si>
    <t>Violet red bile lactose agar</t>
  </si>
  <si>
    <t>XLD agar</t>
  </si>
  <si>
    <t>Yeast Extract Powder</t>
  </si>
  <si>
    <t>IV. CHẤT CHUẨN, CHẤT ĐỐI CHIẾU</t>
  </si>
  <si>
    <t>CHẤT ĐỐI CHIẾU HÓA DƯỢC</t>
  </si>
  <si>
    <t xml:space="preserve">4-aminophenol </t>
  </si>
  <si>
    <t xml:space="preserve">Lọ </t>
  </si>
  <si>
    <t>VKNTP</t>
  </si>
  <si>
    <t>Acetylstein</t>
  </si>
  <si>
    <t>Acid ascorbic</t>
  </si>
  <si>
    <t>Acid mefenamid</t>
  </si>
  <si>
    <t>Acyclovir</t>
  </si>
  <si>
    <t>Albendazol</t>
  </si>
  <si>
    <t>Allopurinol</t>
  </si>
  <si>
    <t>Amoxicillin</t>
  </si>
  <si>
    <t>Ampicillin</t>
  </si>
  <si>
    <t>Aspartam</t>
  </si>
  <si>
    <t>Aspirin</t>
  </si>
  <si>
    <t>Atenolol</t>
  </si>
  <si>
    <t>Azithromycin</t>
  </si>
  <si>
    <t>Berberin HCl</t>
  </si>
  <si>
    <t>Butyl paraben</t>
  </si>
  <si>
    <t>Cafein</t>
  </si>
  <si>
    <t>Captopril</t>
  </si>
  <si>
    <t>Captopril díulfit</t>
  </si>
  <si>
    <t>Cefaclor</t>
  </si>
  <si>
    <t>Cefadroxyl</t>
  </si>
  <si>
    <t>Cefdinir</t>
  </si>
  <si>
    <t>Cefixim</t>
  </si>
  <si>
    <t>Cefpodoxim</t>
  </si>
  <si>
    <t>Cefradin</t>
  </si>
  <si>
    <t>Ceftriaxon</t>
  </si>
  <si>
    <t>Cefuroxim acetyl</t>
  </si>
  <si>
    <t>Celecoxib</t>
  </si>
  <si>
    <t>Cephalexin</t>
  </si>
  <si>
    <t>Cetirizin</t>
  </si>
  <si>
    <t>Chloramphenicol</t>
  </si>
  <si>
    <t>Cimetidin</t>
  </si>
  <si>
    <t>Cinnarizin</t>
  </si>
  <si>
    <t>Ciprofloxacin HCl</t>
  </si>
  <si>
    <t>Clarithromycin</t>
  </si>
  <si>
    <t>Clorphenilamin maleat</t>
  </si>
  <si>
    <t>Cyanocobalamin</t>
  </si>
  <si>
    <t>Dexamethason acetat</t>
  </si>
  <si>
    <t>Dexclorpheniramin</t>
  </si>
  <si>
    <t>Diclofenac natri</t>
  </si>
  <si>
    <t>Domperidon</t>
  </si>
  <si>
    <t>Enalapril</t>
  </si>
  <si>
    <t>Ethyl paraben</t>
  </si>
  <si>
    <t>Fenofibrat</t>
  </si>
  <si>
    <t>Fexofenadin</t>
  </si>
  <si>
    <t>Flunarizin</t>
  </si>
  <si>
    <t>Gabapentin</t>
  </si>
  <si>
    <t>Glibenclamid</t>
  </si>
  <si>
    <t>Glimepirid</t>
  </si>
  <si>
    <t>Glucosamin</t>
  </si>
  <si>
    <t>Ibuprofen</t>
  </si>
  <si>
    <t>Isobutyl paraben</t>
  </si>
  <si>
    <t xml:space="preserve">Ketoconazol </t>
  </si>
  <si>
    <t>Lavumidin</t>
  </si>
  <si>
    <t>Levofloxacin</t>
  </si>
  <si>
    <t>Lincomycin</t>
  </si>
  <si>
    <t>Loperamid</t>
  </si>
  <si>
    <t>Mebendazol</t>
  </si>
  <si>
    <t xml:space="preserve">Meloxicam </t>
  </si>
  <si>
    <t>Metformin</t>
  </si>
  <si>
    <t>Methyl paraben</t>
  </si>
  <si>
    <t>MethylPrednisolon</t>
  </si>
  <si>
    <t>Metronidazol</t>
  </si>
  <si>
    <t>Mifepriston</t>
  </si>
  <si>
    <t>Natribenzoat</t>
  </si>
  <si>
    <t>Nicotinamid</t>
  </si>
  <si>
    <t>Nifedipin</t>
  </si>
  <si>
    <t>Ofloxacin</t>
  </si>
  <si>
    <t>Omeprazol</t>
  </si>
  <si>
    <t>Paracetamol</t>
  </si>
  <si>
    <t>Piracetam</t>
  </si>
  <si>
    <t>Piroxicam</t>
  </si>
  <si>
    <t>Prednisolon</t>
  </si>
  <si>
    <t>Prednison</t>
  </si>
  <si>
    <t>Promethacin</t>
  </si>
  <si>
    <t>Propyl paraben</t>
  </si>
  <si>
    <t>Pyridoxin</t>
  </si>
  <si>
    <t>Quercetin</t>
  </si>
  <si>
    <t>Retinol</t>
  </si>
  <si>
    <t>Riboflavin</t>
  </si>
  <si>
    <t>Rotundin</t>
  </si>
  <si>
    <t>Roxithromycin</t>
  </si>
  <si>
    <t>Salbutamol</t>
  </si>
  <si>
    <t>Sulfamethoxazol</t>
  </si>
  <si>
    <t>Sulpiride</t>
  </si>
  <si>
    <t>Tetracyclin</t>
  </si>
  <si>
    <t>Theophylin</t>
  </si>
  <si>
    <t>Thiamin nitrat</t>
  </si>
  <si>
    <t>Tinidazol</t>
  </si>
  <si>
    <t>Triamcionlone acetonid</t>
  </si>
  <si>
    <t xml:space="preserve">Trimetazidin </t>
  </si>
  <si>
    <t>Trimethoprime</t>
  </si>
  <si>
    <t>α-tocopherol</t>
  </si>
  <si>
    <t>Việt Nam</t>
  </si>
  <si>
    <t>Betamethason dipropionat</t>
  </si>
  <si>
    <t>Betamethason valerat</t>
  </si>
  <si>
    <t>Clobetasol propionat</t>
  </si>
  <si>
    <t>Hydrocortison acetat</t>
  </si>
  <si>
    <t>CHUẨN DƯỢC LIỆU</t>
  </si>
  <si>
    <t>Ba kích</t>
  </si>
  <si>
    <t>Gói</t>
  </si>
  <si>
    <t>Bách bộ</t>
  </si>
  <si>
    <t>Bạch chỉ</t>
  </si>
  <si>
    <t>Bạch thược</t>
  </si>
  <si>
    <t>Bán hạ</t>
  </si>
  <si>
    <t>Cam thảo</t>
  </si>
  <si>
    <t>Cát cánh</t>
  </si>
  <si>
    <t>Câu đằng</t>
  </si>
  <si>
    <t>Câu kỷ tử</t>
  </si>
  <si>
    <t>Đan sâm</t>
  </si>
  <si>
    <t>Đảng sâm</t>
  </si>
  <si>
    <t>Đinh lăng</t>
  </si>
  <si>
    <t>Độc hoạt</t>
  </si>
  <si>
    <t>Đương quy</t>
  </si>
  <si>
    <t>Hoài sơn</t>
  </si>
  <si>
    <t>Hoàng bá</t>
  </si>
  <si>
    <t>Hoàng cầm</t>
  </si>
  <si>
    <t>Hoàng kỳ</t>
  </si>
  <si>
    <t>Hồng hoa</t>
  </si>
  <si>
    <t>Hy thiêm</t>
  </si>
  <si>
    <t>Kê huyết đằng</t>
  </si>
  <si>
    <t>Kim ngân hoa</t>
  </si>
  <si>
    <t>Lạc tiên</t>
  </si>
  <si>
    <t>Mẫu đơn bì</t>
  </si>
  <si>
    <t>Nghệ</t>
  </si>
  <si>
    <t>Ngưu tất</t>
  </si>
  <si>
    <t>Phòng phong</t>
  </si>
  <si>
    <t>Quế thân</t>
  </si>
  <si>
    <t>Tế tân</t>
  </si>
  <si>
    <t>Thăng ma</t>
  </si>
  <si>
    <t>Thổ phục linh</t>
  </si>
  <si>
    <t>Tục đoạn</t>
  </si>
  <si>
    <t>Uy linh tiên</t>
  </si>
  <si>
    <t>Viễn chí</t>
  </si>
  <si>
    <t>Xuyên khung</t>
  </si>
  <si>
    <t>Ý dĩ</t>
  </si>
  <si>
    <t>V. CHỦNG VI SINH</t>
  </si>
  <si>
    <t>Microbiologics</t>
  </si>
  <si>
    <t>Bộ/5 gói</t>
  </si>
  <si>
    <t>HSD: ≥ 8 tháng</t>
  </si>
  <si>
    <t>nt</t>
  </si>
  <si>
    <t>Bộ/1 gói</t>
  </si>
  <si>
    <t>VI. DỤNG CỤ THÍ NGHIỆM THƯỜNG DÙNG</t>
  </si>
  <si>
    <t>Cái</t>
  </si>
  <si>
    <t>Bản mỏng Silicagel G</t>
  </si>
  <si>
    <t>Hộp</t>
  </si>
  <si>
    <t>Có CoA</t>
  </si>
  <si>
    <t>Bản mỏng Silicagel GF254</t>
  </si>
  <si>
    <t>Bao tay không bụi hấp được</t>
  </si>
  <si>
    <t>Đôi</t>
  </si>
  <si>
    <t>Bao tóc</t>
  </si>
  <si>
    <t xml:space="preserve">Bì </t>
  </si>
  <si>
    <t>Duran (Đức)</t>
  </si>
  <si>
    <t>Bình tia</t>
  </si>
  <si>
    <t>Chày sứ</t>
  </si>
  <si>
    <t>Cối lớn</t>
  </si>
  <si>
    <t>Cối nhỏ</t>
  </si>
  <si>
    <t>Cối trung</t>
  </si>
  <si>
    <t>Đầu chấm sắc ký dùng ống mao quản 01 µl</t>
  </si>
  <si>
    <t>Đầu chấm sắc ký dùng ống mao quản 02 – 20 µl</t>
  </si>
  <si>
    <t>Đầu cole vàng 20-200ul</t>
  </si>
  <si>
    <t>Hộp/50cái</t>
  </si>
  <si>
    <t>Đầu lọc Minisat RC, mã số: 17762K</t>
  </si>
  <si>
    <t>Đầu phun sắc kí</t>
  </si>
  <si>
    <t>Găng tay không vô trùng</t>
  </si>
  <si>
    <t>Găng tay vô trùng</t>
  </si>
  <si>
    <t>đôi</t>
  </si>
  <si>
    <t>Giá kẹp buret</t>
  </si>
  <si>
    <t>Giấy lọc bản lớn</t>
  </si>
  <si>
    <t>Whatman (Anh)</t>
  </si>
  <si>
    <t>Tờ</t>
  </si>
  <si>
    <t>Hạt hút ẩm Silicagel có chỉ thị</t>
  </si>
  <si>
    <t>Kẹp phẫu tích</t>
  </si>
  <si>
    <t>Khăn lau không bụi</t>
  </si>
  <si>
    <t>Khẩu trang không vô trùng</t>
  </si>
  <si>
    <t>Lam kính</t>
  </si>
  <si>
    <t>Lamen</t>
  </si>
  <si>
    <t>Hộp 100 màng</t>
  </si>
  <si>
    <t>Màng lọc vô trùng  0,45um</t>
  </si>
  <si>
    <t>Màng lọc vô trùng 0,2um</t>
  </si>
  <si>
    <t>Đức</t>
  </si>
  <si>
    <t>Ống nghiệm có nắp 15ml</t>
  </si>
  <si>
    <t>Ống nghiệm có nắp 20ml</t>
  </si>
  <si>
    <t>Ống nghiệm có nắp 50ml</t>
  </si>
  <si>
    <t>Ống nghiệm có nắp 70ml</t>
  </si>
  <si>
    <t>đồng</t>
  </si>
  <si>
    <t>Tổng số lượng dự kiến</t>
  </si>
  <si>
    <t>Aspergillus niger ATCC 16404</t>
  </si>
  <si>
    <t>Candida albicans ATCC 10231</t>
  </si>
  <si>
    <t>Clostridium perfringens ATCC 13124 đời F1 01 gói chứa 01 viên chủng vi sinh dạng đông khô + khoang chứa dung dịch hoàn nguyên + que tăm bông phân lập</t>
  </si>
  <si>
    <t>Enterobacter aerogenes ATCC 13048</t>
  </si>
  <si>
    <t>Enterococcus faecalis ATCC 29212</t>
  </si>
  <si>
    <t xml:space="preserve">Escherichia coli ATCC 8739 </t>
  </si>
  <si>
    <t>Pseudomonas aeruginosa ATCC 9027</t>
  </si>
  <si>
    <t>Saccharomyces cerevisiae ATCC 9763</t>
  </si>
  <si>
    <t>Saccharomyces kudriavzevil ATCC 2601</t>
  </si>
  <si>
    <t>Salmonella typhimurium ATCC 14028</t>
  </si>
  <si>
    <t>Staphylococcus aureus ATCC 6538</t>
  </si>
  <si>
    <t>Amoni thiocyanat</t>
  </si>
  <si>
    <t>Amonium clorid</t>
  </si>
  <si>
    <t>Antimony triclorid</t>
  </si>
  <si>
    <t>Đồng sulfat</t>
  </si>
  <si>
    <t>Glycine</t>
  </si>
  <si>
    <t>Hydroquinon</t>
  </si>
  <si>
    <r>
      <t>Hydroxy naphthol blue</t>
    </r>
    <r>
      <rPr>
        <b/>
        <sz val="12"/>
        <rFont val="Arial"/>
        <family val="2"/>
      </rPr>
      <t xml:space="preserve"> </t>
    </r>
    <r>
      <rPr>
        <sz val="12"/>
        <rFont val="Times New Roman"/>
        <family val="1"/>
      </rPr>
      <t>disodium salt</t>
    </r>
  </si>
  <si>
    <t>Lithi sulfat</t>
  </si>
  <si>
    <t>Potassium cromat</t>
  </si>
  <si>
    <t>Potassium hexacyanoferrat (II) trihydrate</t>
  </si>
  <si>
    <t>Sodium Carbonat</t>
  </si>
  <si>
    <t>Sodium nitrat</t>
  </si>
  <si>
    <t xml:space="preserve">Sodium nitroprussiat </t>
  </si>
  <si>
    <t>Sodium Potassium tartrat</t>
  </si>
  <si>
    <t>Sodium phosphat tribasic</t>
  </si>
  <si>
    <t xml:space="preserve">Sodium thiosulfat </t>
  </si>
  <si>
    <t>Acetonitrile HPLC</t>
  </si>
  <si>
    <t>Chai 2,5 L</t>
  </si>
  <si>
    <t>Ether dầu hỏa (40ºC - 60ºC)</t>
  </si>
  <si>
    <t>Isopropanol HPLC</t>
  </si>
  <si>
    <t>Methyl isobutyl ceton</t>
  </si>
  <si>
    <t>n - Butanol</t>
  </si>
  <si>
    <t>n - Butyl acetat</t>
  </si>
  <si>
    <t>n - Clorobutan</t>
  </si>
  <si>
    <t>Tetrabutylamino hydroxyd</t>
  </si>
  <si>
    <t>Potassium permanganate 0,1N</t>
  </si>
  <si>
    <t>Amoni sulfocyanid 0,1 N</t>
  </si>
  <si>
    <t>Nơi sản xuất</t>
  </si>
  <si>
    <t>Số lượng  dự kiến</t>
  </si>
  <si>
    <t>Giá kế hoạch</t>
  </si>
  <si>
    <t>Cty TNHH Chanu</t>
  </si>
  <si>
    <t>Fisher</t>
  </si>
  <si>
    <t>Chai 10g</t>
  </si>
  <si>
    <t>Chai</t>
  </si>
  <si>
    <t>Chai 1Kg</t>
  </si>
  <si>
    <t>Chai 500g</t>
  </si>
  <si>
    <t>Chai 100g</t>
  </si>
  <si>
    <t>Chai 50 cái</t>
  </si>
  <si>
    <t>Hộp 5 lọ</t>
  </si>
  <si>
    <t>Acros</t>
  </si>
  <si>
    <t>Chai 25g</t>
  </si>
  <si>
    <t>Kovacs, Indole reagent</t>
  </si>
  <si>
    <t>Chai 1kg</t>
  </si>
  <si>
    <t>50/chai</t>
  </si>
  <si>
    <t>Chai 4L</t>
  </si>
  <si>
    <t>Propanol -2</t>
  </si>
  <si>
    <t>Trung Quốc</t>
  </si>
  <si>
    <t>Marienfeld-Đức</t>
  </si>
  <si>
    <t>Cửa hàng Môi Trường Xanh</t>
  </si>
  <si>
    <t>Chai 50g</t>
  </si>
  <si>
    <t>Chai 250g</t>
  </si>
  <si>
    <t>Ấn Độ</t>
  </si>
  <si>
    <t>Ethyl acetat</t>
  </si>
  <si>
    <t>Mã lai</t>
  </si>
  <si>
    <t>Anh-Azlon</t>
  </si>
  <si>
    <t>Tiệp</t>
  </si>
  <si>
    <t>Sartorius</t>
  </si>
  <si>
    <t>Công ty TNHH Bách Khoa</t>
  </si>
  <si>
    <t>Công ty TNHH TM &amp; DV Quang Duy</t>
  </si>
  <si>
    <t>Công ty TNHH MTV Hoàng Hưng Phát</t>
  </si>
  <si>
    <t>Công ty TNHH Thiết bị vật tư Sao Nam</t>
  </si>
  <si>
    <t>TQ</t>
  </si>
  <si>
    <t>Chai 250mL</t>
  </si>
  <si>
    <t>VN</t>
  </si>
  <si>
    <t>Cửa hàng Cô Bắc</t>
  </si>
  <si>
    <t>VKN TP</t>
  </si>
  <si>
    <t>Công ty TNHH Thiết bị Loan Oanh</t>
  </si>
  <si>
    <t>Công ty TNHH XNK Kim Dư Việt Nam</t>
  </si>
  <si>
    <t>Công ty TNHH TM-DV Châu Long</t>
  </si>
  <si>
    <t>Bình hộp sắc ký 210x100x210mm</t>
  </si>
  <si>
    <t>Korea</t>
  </si>
  <si>
    <t>Dodecyl sulfat sodium salt</t>
  </si>
  <si>
    <t>Hộp 100 test</t>
  </si>
  <si>
    <t>Acid sulfuric 95%</t>
  </si>
  <si>
    <t>Duksan- Korea</t>
  </si>
  <si>
    <t>Hộp 50 đôi</t>
  </si>
  <si>
    <t>Đơn giá kế hoạch</t>
  </si>
  <si>
    <t>CỘNG HÒA XÃ HỘI CHỦ NGHĨA VIỆT NAM</t>
  </si>
  <si>
    <t>TRUNG TÂM KN THUỐC, MP, TP</t>
  </si>
  <si>
    <t>Độc lập - Tự do - Hạnh phúc</t>
  </si>
  <si>
    <t>Ghi chú: Danh mục dự kiến, có thể phát sinh hoặc thay đổi tùy theo tình hình thực tế (mẫu lấy kiểm nghiệm theo chỉ đạo của các cấp hoặc khi có nghi ngờ về chất lượng, tiêu chuẩn cơ sở của các nhà sản xuất khác nhau…)</t>
  </si>
  <si>
    <t>TỔNG CỘNG (I) + (II) + (III) + (IV) + (V) + (VI) :</t>
  </si>
  <si>
    <t>Đơn giá chào ( đã bao gồm thuế VAT )</t>
  </si>
  <si>
    <t xml:space="preserve">Gói </t>
  </si>
  <si>
    <t>Diệp hạ châu đắng</t>
  </si>
  <si>
    <t>Hoa hòe</t>
  </si>
  <si>
    <t>Công ty TNHH Khoa học và công nghệ ATA</t>
  </si>
  <si>
    <t>Quảng Ngãi, ngày 05 tháng  6 năm 2020</t>
  </si>
  <si>
    <t>(Kèm theo Tờ trình số 136/TTr-TTKN ngày  05/6/2020 của TTKN Thuốc, MP, TP)</t>
  </si>
  <si>
    <t>PHỤ LỤC</t>
  </si>
  <si>
    <t xml:space="preserve"> DANH MỤC HÓA CHẤT, MÔI TRƯỜNG, CHẤT CHUẨN, CHẤT ĐỐI CHIẾU, CHỦNG VI SINH VÀ DỤNG CỤ THÍ NGHIỆM NĂM 2020 CỦA TRUNG TÂM KIỂM NGHIỆM THUỐC, MỸ PHẨM, THỰC PHẨM TỈNH QUẢNG NGÃI</t>
  </si>
  <si>
    <t>A. CHẤT ĐỐI CHIẾU HÓA DƯỢC</t>
  </si>
  <si>
    <t>B. CHUẨN DƯỢC LIỆU</t>
  </si>
  <si>
    <t>Số lượng dự kiến</t>
  </si>
  <si>
    <t>(Kèm theo Công văn số          /SYT-KHTC ngày        /6/2020 của Sở Y tế)</t>
  </si>
  <si>
    <t xml:space="preserve"> Số lượng dự kiến</t>
  </si>
</sst>
</file>

<file path=xl/styles.xml><?xml version="1.0" encoding="utf-8"?>
<styleSheet xmlns="http://schemas.openxmlformats.org/spreadsheetml/2006/main">
  <numFmts count="2">
    <numFmt numFmtId="164" formatCode="_(* #,##0.00_);_(* \(#,##0.00\);_(* &quot;-&quot;??_);_(@_)"/>
    <numFmt numFmtId="167" formatCode="_(* #,##0_);_(* \(#,##0\);_(* &quot;-&quot;??_);_(@_)"/>
  </numFmts>
  <fonts count="21">
    <font>
      <sz val="12"/>
      <color theme="1"/>
      <name val="Times New Roman"/>
    </font>
    <font>
      <sz val="10"/>
      <name val="Times New Roman"/>
    </font>
    <font>
      <sz val="12"/>
      <name val="Times New Roman"/>
      <family val="1"/>
    </font>
    <font>
      <b/>
      <sz val="12"/>
      <name val="Times New Roman"/>
      <family val="1"/>
    </font>
    <font>
      <b/>
      <i/>
      <sz val="12"/>
      <name val="Times New Roman"/>
      <family val="1"/>
    </font>
    <font>
      <sz val="12"/>
      <color rgb="FFFF0000"/>
      <name val="Times New Roman"/>
      <family val="1"/>
    </font>
    <font>
      <i/>
      <sz val="12"/>
      <name val="Times New Roman"/>
      <family val="1"/>
    </font>
    <font>
      <sz val="12"/>
      <color rgb="FF0070C0"/>
      <name val="Times New Roman"/>
      <family val="1"/>
    </font>
    <font>
      <sz val="12"/>
      <color theme="1"/>
      <name val="Times New Roman"/>
      <family val="1"/>
    </font>
    <font>
      <sz val="12"/>
      <name val="Times New Roman"/>
      <family val="2"/>
    </font>
    <font>
      <b/>
      <sz val="12"/>
      <name val="Arial"/>
      <family val="2"/>
    </font>
    <font>
      <sz val="12"/>
      <color theme="1"/>
      <name val="Times New Roman"/>
    </font>
    <font>
      <b/>
      <sz val="12"/>
      <name val="Times New Roman"/>
      <family val="2"/>
    </font>
    <font>
      <b/>
      <sz val="12"/>
      <color rgb="FFFF0000"/>
      <name val="Times New Roman"/>
      <family val="1"/>
    </font>
    <font>
      <sz val="12"/>
      <color rgb="FFFF0000"/>
      <name val="Times New Roman"/>
      <family val="2"/>
    </font>
    <font>
      <i/>
      <sz val="12"/>
      <name val="Times New Roman"/>
      <family val="2"/>
    </font>
    <font>
      <sz val="12"/>
      <name val="Arial"/>
      <family val="2"/>
    </font>
    <font>
      <b/>
      <sz val="12"/>
      <color rgb="FFFF0000"/>
      <name val="Times New Roman"/>
      <family val="2"/>
    </font>
    <font>
      <b/>
      <sz val="12"/>
      <color rgb="FF0070C0"/>
      <name val="Times New Roman"/>
      <family val="2"/>
    </font>
    <font>
      <sz val="12"/>
      <color rgb="FF0070C0"/>
      <name val="Times New Roman"/>
      <family val="2"/>
    </font>
    <font>
      <b/>
      <sz val="12"/>
      <color rgb="FF0070C0"/>
      <name val="Times New Roman"/>
      <family val="1"/>
    </font>
  </fonts>
  <fills count="6">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00"/>
      </patternFill>
    </fill>
    <fill>
      <patternFill patternType="solid">
        <fgColor theme="0"/>
        <bgColor rgb="FFFFFFFF"/>
      </patternFill>
    </fill>
  </fills>
  <borders count="2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right/>
      <top/>
      <bottom style="thin">
        <color rgb="FF000000"/>
      </bottom>
      <diagonal/>
    </border>
    <border>
      <left style="thin">
        <color rgb="FF000000"/>
      </left>
      <right style="thin">
        <color rgb="FF000000"/>
      </right>
      <top/>
      <bottom style="hair">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hair">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rgb="FF000000"/>
      </bottom>
      <diagonal/>
    </border>
    <border>
      <left style="thin">
        <color rgb="FF000000"/>
      </left>
      <right/>
      <top/>
      <bottom/>
      <diagonal/>
    </border>
    <border>
      <left/>
      <right/>
      <top/>
      <bottom style="thin">
        <color indexed="64"/>
      </bottom>
      <diagonal/>
    </border>
    <border>
      <left style="thin">
        <color rgb="FF000000"/>
      </left>
      <right style="thin">
        <color rgb="FF000000"/>
      </right>
      <top style="hair">
        <color rgb="FF000000"/>
      </top>
      <bottom style="thin">
        <color indexed="64"/>
      </bottom>
      <diagonal/>
    </border>
  </borders>
  <cellStyleXfs count="5">
    <xf numFmtId="0" fontId="0" fillId="0" borderId="0"/>
    <xf numFmtId="0" fontId="1" fillId="0" borderId="2"/>
    <xf numFmtId="0" fontId="2" fillId="0" borderId="2"/>
    <xf numFmtId="0" fontId="8" fillId="0" borderId="2"/>
    <xf numFmtId="164" fontId="11" fillId="0" borderId="0" applyFont="0" applyFill="0" applyBorder="0" applyAlignment="0" applyProtection="0"/>
  </cellStyleXfs>
  <cellXfs count="278">
    <xf numFmtId="0" fontId="0" fillId="0" borderId="0" xfId="0" applyFont="1" applyAlignment="1"/>
    <xf numFmtId="0" fontId="2" fillId="0" borderId="1" xfId="0" applyFont="1" applyBorder="1" applyAlignment="1"/>
    <xf numFmtId="0" fontId="6" fillId="0" borderId="4" xfId="0" applyFont="1" applyBorder="1" applyAlignment="1">
      <alignment horizontal="left" vertical="center" wrapText="1"/>
    </xf>
    <xf numFmtId="0" fontId="2" fillId="0" borderId="4" xfId="3" applyFont="1" applyBorder="1" applyAlignment="1">
      <alignment horizontal="left" vertical="center" wrapText="1"/>
    </xf>
    <xf numFmtId="0" fontId="2" fillId="3" borderId="4" xfId="0" applyFont="1" applyFill="1" applyBorder="1" applyAlignment="1">
      <alignment vertical="center" wrapText="1"/>
    </xf>
    <xf numFmtId="0" fontId="2" fillId="3" borderId="4"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0" borderId="4" xfId="3" applyFont="1" applyBorder="1" applyAlignment="1">
      <alignment vertical="center" wrapText="1"/>
    </xf>
    <xf numFmtId="0" fontId="2" fillId="4" borderId="4" xfId="0" applyFont="1" applyFill="1" applyBorder="1" applyAlignment="1">
      <alignment vertical="center" wrapText="1"/>
    </xf>
    <xf numFmtId="0" fontId="2" fillId="4" borderId="4" xfId="0" applyFont="1" applyFill="1" applyBorder="1" applyAlignment="1">
      <alignment horizontal="left" vertical="center" wrapText="1"/>
    </xf>
    <xf numFmtId="0" fontId="2" fillId="4" borderId="4" xfId="0" applyFont="1" applyFill="1" applyBorder="1" applyAlignment="1">
      <alignment horizontal="center" vertical="center" wrapText="1"/>
    </xf>
    <xf numFmtId="0" fontId="2" fillId="4" borderId="4" xfId="3" applyFont="1" applyFill="1" applyBorder="1" applyAlignment="1">
      <alignment horizontal="left" vertical="center" wrapText="1"/>
    </xf>
    <xf numFmtId="0" fontId="2" fillId="4" borderId="4" xfId="3" applyFont="1" applyFill="1" applyBorder="1" applyAlignment="1">
      <alignment horizontal="center" vertical="center" wrapText="1"/>
    </xf>
    <xf numFmtId="0" fontId="2" fillId="4" borderId="4" xfId="3" applyFont="1" applyFill="1" applyBorder="1" applyAlignment="1">
      <alignment vertical="center" wrapText="1"/>
    </xf>
    <xf numFmtId="0" fontId="2" fillId="3" borderId="4" xfId="3" applyFont="1" applyFill="1" applyBorder="1" applyAlignment="1">
      <alignment vertical="center" wrapText="1"/>
    </xf>
    <xf numFmtId="0" fontId="2" fillId="3" borderId="4" xfId="0" applyFont="1" applyFill="1" applyBorder="1" applyAlignment="1">
      <alignment wrapText="1"/>
    </xf>
    <xf numFmtId="0" fontId="2" fillId="5" borderId="4"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3" borderId="4" xfId="3"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4" borderId="4" xfId="0" applyFont="1" applyFill="1" applyBorder="1" applyAlignment="1">
      <alignment horizontal="left" vertical="center"/>
    </xf>
    <xf numFmtId="0" fontId="2" fillId="4" borderId="4" xfId="0" applyFont="1" applyFill="1" applyBorder="1" applyAlignment="1">
      <alignment horizontal="center" vertical="center"/>
    </xf>
    <xf numFmtId="0" fontId="2" fillId="5" borderId="4" xfId="0" applyFont="1" applyFill="1" applyBorder="1" applyAlignment="1">
      <alignment horizontal="left"/>
    </xf>
    <xf numFmtId="0" fontId="2" fillId="5" borderId="4" xfId="0" applyFont="1" applyFill="1" applyBorder="1" applyAlignment="1">
      <alignment horizontal="left" vertical="center"/>
    </xf>
    <xf numFmtId="0" fontId="2" fillId="5" borderId="4" xfId="0" applyFont="1" applyFill="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xf>
    <xf numFmtId="0" fontId="2" fillId="3" borderId="3" xfId="0" applyFont="1" applyFill="1" applyBorder="1" applyAlignment="1">
      <alignment horizontal="center" vertical="center" wrapText="1"/>
    </xf>
    <xf numFmtId="0" fontId="3" fillId="3" borderId="1" xfId="0" applyFont="1" applyFill="1" applyBorder="1" applyAlignment="1">
      <alignment vertical="center"/>
    </xf>
    <xf numFmtId="0" fontId="3" fillId="3" borderId="1" xfId="0" applyFont="1" applyFill="1" applyBorder="1" applyAlignment="1">
      <alignment horizontal="center" vertical="center" wrapText="1"/>
    </xf>
    <xf numFmtId="3" fontId="3" fillId="3" borderId="1" xfId="0" applyNumberFormat="1" applyFont="1" applyFill="1" applyBorder="1" applyAlignment="1">
      <alignment horizontal="right" vertical="center"/>
    </xf>
    <xf numFmtId="167" fontId="2" fillId="3" borderId="4" xfId="4" applyNumberFormat="1" applyFont="1" applyFill="1" applyBorder="1" applyAlignment="1">
      <alignment horizontal="right" vertical="center" wrapText="1"/>
    </xf>
    <xf numFmtId="3" fontId="2" fillId="3" borderId="4" xfId="0" applyNumberFormat="1" applyFont="1" applyFill="1" applyBorder="1" applyAlignment="1">
      <alignment vertical="center" wrapText="1"/>
    </xf>
    <xf numFmtId="167" fontId="2" fillId="4" borderId="4" xfId="4" applyNumberFormat="1" applyFont="1" applyFill="1" applyBorder="1" applyAlignment="1">
      <alignment horizontal="right" vertical="center" wrapText="1"/>
    </xf>
    <xf numFmtId="3" fontId="2" fillId="4" borderId="4" xfId="0" applyNumberFormat="1" applyFont="1" applyFill="1" applyBorder="1" applyAlignment="1">
      <alignment vertical="center" wrapText="1"/>
    </xf>
    <xf numFmtId="3" fontId="2" fillId="0" borderId="4" xfId="0" applyNumberFormat="1" applyFont="1" applyBorder="1" applyAlignment="1">
      <alignment vertical="center" wrapText="1"/>
    </xf>
    <xf numFmtId="0" fontId="2" fillId="3" borderId="3" xfId="0" applyFont="1" applyFill="1" applyBorder="1" applyAlignment="1">
      <alignment horizontal="left" vertical="center" wrapText="1"/>
    </xf>
    <xf numFmtId="167" fontId="2" fillId="3" borderId="4" xfId="4" applyNumberFormat="1" applyFont="1" applyFill="1" applyBorder="1" applyAlignment="1">
      <alignment horizontal="center" vertical="center" wrapText="1"/>
    </xf>
    <xf numFmtId="167" fontId="2" fillId="4" borderId="4" xfId="4"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3" fontId="13" fillId="0" borderId="1" xfId="0" applyNumberFormat="1" applyFont="1" applyBorder="1" applyAlignment="1">
      <alignment horizontal="center" vertical="center" wrapText="1"/>
    </xf>
    <xf numFmtId="167" fontId="5" fillId="0" borderId="4" xfId="4" applyNumberFormat="1" applyFont="1" applyBorder="1" applyAlignment="1">
      <alignment horizontal="center" vertical="center" wrapText="1"/>
    </xf>
    <xf numFmtId="3" fontId="12" fillId="0" borderId="9" xfId="2" applyNumberFormat="1" applyFont="1" applyBorder="1" applyAlignment="1">
      <alignment horizontal="center" vertical="center" wrapText="1"/>
    </xf>
    <xf numFmtId="0" fontId="2" fillId="0" borderId="4" xfId="0" applyFont="1" applyBorder="1"/>
    <xf numFmtId="0" fontId="9" fillId="0" borderId="0" xfId="0" applyFont="1" applyAlignment="1">
      <alignment horizontal="center"/>
    </xf>
    <xf numFmtId="3" fontId="9" fillId="0" borderId="0" xfId="0" applyNumberFormat="1" applyFont="1" applyAlignment="1">
      <alignment horizontal="center"/>
    </xf>
    <xf numFmtId="0" fontId="9" fillId="0" borderId="0" xfId="0" applyFont="1" applyAlignment="1">
      <alignment horizontal="center" wrapText="1"/>
    </xf>
    <xf numFmtId="0" fontId="2" fillId="0" borderId="0" xfId="0" applyFont="1" applyAlignment="1">
      <alignment horizontal="center"/>
    </xf>
    <xf numFmtId="0" fontId="15" fillId="0" borderId="0" xfId="0" applyFont="1" applyAlignment="1">
      <alignment horizontal="center"/>
    </xf>
    <xf numFmtId="3" fontId="15" fillId="0" borderId="0" xfId="0" applyNumberFormat="1" applyFont="1" applyAlignment="1">
      <alignment horizontal="center"/>
    </xf>
    <xf numFmtId="0" fontId="6" fillId="0" borderId="0" xfId="0" applyFont="1" applyAlignment="1">
      <alignment horizontal="center"/>
    </xf>
    <xf numFmtId="0" fontId="2" fillId="0" borderId="0" xfId="0" applyFont="1" applyAlignment="1">
      <alignment vertical="center"/>
    </xf>
    <xf numFmtId="0" fontId="6" fillId="0" borderId="2" xfId="1" applyFont="1" applyBorder="1" applyAlignment="1">
      <alignment horizontal="center" vertical="center" wrapText="1"/>
    </xf>
    <xf numFmtId="167" fontId="5" fillId="3" borderId="4" xfId="4" applyNumberFormat="1" applyFont="1" applyFill="1" applyBorder="1" applyAlignment="1">
      <alignment horizontal="center" vertical="center" wrapText="1"/>
    </xf>
    <xf numFmtId="167" fontId="2" fillId="5" borderId="4" xfId="4" applyNumberFormat="1" applyFont="1" applyFill="1" applyBorder="1" applyAlignment="1">
      <alignment horizontal="center" vertical="center" wrapText="1"/>
    </xf>
    <xf numFmtId="0" fontId="2" fillId="5" borderId="4" xfId="0" applyFont="1" applyFill="1" applyBorder="1" applyAlignment="1">
      <alignment horizontal="center" vertical="top" wrapText="1"/>
    </xf>
    <xf numFmtId="0" fontId="2" fillId="3" borderId="4" xfId="3" applyFont="1" applyFill="1" applyBorder="1" applyAlignment="1">
      <alignment horizontal="center" vertical="center" wrapText="1"/>
    </xf>
    <xf numFmtId="167" fontId="2" fillId="0" borderId="4" xfId="4" applyNumberFormat="1" applyFont="1" applyBorder="1" applyAlignment="1">
      <alignment horizontal="center" vertical="center" wrapText="1"/>
    </xf>
    <xf numFmtId="167" fontId="2" fillId="4" borderId="4" xfId="4" applyNumberFormat="1" applyFont="1" applyFill="1" applyBorder="1" applyAlignment="1">
      <alignment horizontal="center" vertical="center"/>
    </xf>
    <xf numFmtId="3" fontId="3" fillId="0" borderId="9" xfId="2" applyNumberFormat="1" applyFont="1" applyBorder="1" applyAlignment="1">
      <alignment horizontal="center" vertical="center" wrapText="1"/>
    </xf>
    <xf numFmtId="0" fontId="2" fillId="4" borderId="7" xfId="0" applyFont="1" applyFill="1" applyBorder="1" applyAlignment="1">
      <alignment horizontal="center" vertical="center" wrapText="1"/>
    </xf>
    <xf numFmtId="0" fontId="2" fillId="4" borderId="7" xfId="0" applyFont="1" applyFill="1" applyBorder="1" applyAlignment="1">
      <alignment horizontal="left" vertical="center" wrapText="1"/>
    </xf>
    <xf numFmtId="167" fontId="2" fillId="4" borderId="7" xfId="4" applyNumberFormat="1" applyFont="1" applyFill="1" applyBorder="1" applyAlignment="1">
      <alignment horizontal="center" vertical="center" wrapText="1"/>
    </xf>
    <xf numFmtId="3" fontId="2" fillId="4" borderId="7" xfId="0" applyNumberFormat="1" applyFont="1" applyFill="1" applyBorder="1" applyAlignment="1">
      <alignment vertical="center" wrapText="1"/>
    </xf>
    <xf numFmtId="3" fontId="3" fillId="0" borderId="1" xfId="0" applyNumberFormat="1" applyFont="1" applyBorder="1" applyAlignment="1">
      <alignment horizontal="right" vertical="center" wrapText="1"/>
    </xf>
    <xf numFmtId="0" fontId="2" fillId="3" borderId="19" xfId="0" applyFont="1" applyFill="1" applyBorder="1" applyAlignment="1">
      <alignment horizontal="center" vertical="center" wrapText="1"/>
    </xf>
    <xf numFmtId="3" fontId="5" fillId="0" borderId="4" xfId="0" applyNumberFormat="1" applyFont="1" applyBorder="1" applyAlignment="1">
      <alignment horizontal="right" vertical="center" wrapText="1"/>
    </xf>
    <xf numFmtId="3" fontId="3" fillId="0" borderId="0" xfId="0" applyNumberFormat="1" applyFont="1" applyAlignment="1">
      <alignment wrapText="1"/>
    </xf>
    <xf numFmtId="0" fontId="3" fillId="0" borderId="0" xfId="0" applyFont="1" applyAlignment="1">
      <alignment wrapText="1"/>
    </xf>
    <xf numFmtId="0" fontId="4" fillId="0" borderId="2" xfId="3" applyFont="1" applyBorder="1" applyAlignment="1">
      <alignment horizontal="left" vertical="center"/>
    </xf>
    <xf numFmtId="0" fontId="4" fillId="0" borderId="0" xfId="0" applyFont="1" applyAlignment="1"/>
    <xf numFmtId="0" fontId="4" fillId="0" borderId="0" xfId="0" applyFont="1" applyAlignment="1">
      <alignment horizontal="center"/>
    </xf>
    <xf numFmtId="0" fontId="9" fillId="0" borderId="0" xfId="0" applyFont="1" applyAlignment="1">
      <alignment wrapText="1"/>
    </xf>
    <xf numFmtId="3" fontId="9" fillId="0" borderId="0" xfId="0" applyNumberFormat="1" applyFont="1"/>
    <xf numFmtId="0" fontId="2" fillId="0" borderId="0" xfId="0" applyFont="1" applyAlignment="1"/>
    <xf numFmtId="3" fontId="2" fillId="0" borderId="0" xfId="0" applyNumberFormat="1" applyFont="1" applyAlignment="1"/>
    <xf numFmtId="3" fontId="9" fillId="0" borderId="0" xfId="0" applyNumberFormat="1" applyFont="1" applyAlignment="1"/>
    <xf numFmtId="3" fontId="6" fillId="0" borderId="0" xfId="0" applyNumberFormat="1" applyFont="1" applyAlignment="1"/>
    <xf numFmtId="3" fontId="15" fillId="0" borderId="0" xfId="0" applyNumberFormat="1" applyFont="1" applyAlignment="1"/>
    <xf numFmtId="0" fontId="2" fillId="0" borderId="0" xfId="0" applyFont="1" applyAlignment="1"/>
    <xf numFmtId="0" fontId="3" fillId="0" borderId="0" xfId="0" applyFont="1" applyAlignment="1">
      <alignment horizontal="center" vertical="center"/>
    </xf>
    <xf numFmtId="0" fontId="6" fillId="0" borderId="0" xfId="0" applyFont="1" applyAlignment="1">
      <alignment horizontal="right" vertical="center"/>
    </xf>
    <xf numFmtId="167" fontId="2" fillId="3" borderId="4" xfId="4" applyNumberFormat="1" applyFont="1" applyFill="1" applyBorder="1" applyAlignment="1">
      <alignment horizontal="center" vertical="top" wrapText="1"/>
    </xf>
    <xf numFmtId="0" fontId="2" fillId="0" borderId="4" xfId="3" applyFont="1" applyBorder="1" applyAlignment="1">
      <alignment horizontal="center" vertical="center" wrapText="1"/>
    </xf>
    <xf numFmtId="0" fontId="2" fillId="3" borderId="4" xfId="0" applyFont="1" applyFill="1" applyBorder="1" applyAlignment="1">
      <alignment horizontal="center" vertical="top" wrapText="1"/>
    </xf>
    <xf numFmtId="0" fontId="2" fillId="3" borderId="4" xfId="0" applyFont="1" applyFill="1" applyBorder="1"/>
    <xf numFmtId="0" fontId="2" fillId="0" borderId="4" xfId="3" applyFont="1" applyFill="1" applyBorder="1" applyAlignment="1">
      <alignment horizontal="center" vertical="center" wrapText="1"/>
    </xf>
    <xf numFmtId="0" fontId="16" fillId="4" borderId="4" xfId="0" applyFont="1" applyFill="1" applyBorder="1" applyAlignment="1">
      <alignment horizontal="center" vertical="center" wrapText="1"/>
    </xf>
    <xf numFmtId="0" fontId="2" fillId="4" borderId="4" xfId="0" applyFont="1" applyFill="1" applyBorder="1" applyAlignment="1">
      <alignment vertical="center"/>
    </xf>
    <xf numFmtId="0" fontId="2" fillId="3" borderId="4" xfId="0" applyFont="1" applyFill="1" applyBorder="1" applyAlignment="1">
      <alignment vertical="center"/>
    </xf>
    <xf numFmtId="0" fontId="16" fillId="3" borderId="4" xfId="0" applyFont="1" applyFill="1" applyBorder="1" applyAlignment="1">
      <alignment horizontal="center" vertical="center" wrapText="1"/>
    </xf>
    <xf numFmtId="0" fontId="2" fillId="3" borderId="4" xfId="0" applyFont="1" applyFill="1" applyBorder="1" applyAlignment="1">
      <alignment horizontal="left"/>
    </xf>
    <xf numFmtId="0" fontId="2" fillId="3" borderId="4" xfId="0" applyFont="1" applyFill="1" applyBorder="1" applyAlignment="1"/>
    <xf numFmtId="0" fontId="2" fillId="3" borderId="4" xfId="0" applyFont="1" applyFill="1" applyBorder="1" applyAlignment="1">
      <alignment horizontal="center"/>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xf>
    <xf numFmtId="0" fontId="3" fillId="0" borderId="1"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167" fontId="2" fillId="4" borderId="3" xfId="4" applyNumberFormat="1" applyFont="1" applyFill="1" applyBorder="1" applyAlignment="1">
      <alignment horizontal="center" vertical="center" wrapText="1"/>
    </xf>
    <xf numFmtId="167" fontId="2" fillId="4" borderId="3" xfId="4" applyNumberFormat="1" applyFont="1" applyFill="1" applyBorder="1" applyAlignment="1">
      <alignment horizontal="right" vertical="center" wrapText="1"/>
    </xf>
    <xf numFmtId="3" fontId="2" fillId="4" borderId="3" xfId="0" applyNumberFormat="1" applyFont="1" applyFill="1" applyBorder="1" applyAlignment="1">
      <alignment vertical="center" wrapText="1"/>
    </xf>
    <xf numFmtId="0" fontId="2" fillId="4" borderId="3" xfId="0" applyFont="1" applyFill="1" applyBorder="1" applyAlignment="1">
      <alignment horizontal="center" vertical="center" wrapText="1"/>
    </xf>
    <xf numFmtId="167" fontId="2" fillId="3" borderId="4" xfId="4" applyNumberFormat="1" applyFont="1" applyFill="1" applyBorder="1" applyAlignment="1">
      <alignment horizontal="center"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2" fillId="3" borderId="4" xfId="0" applyFont="1" applyFill="1" applyBorder="1" applyAlignment="1">
      <alignment horizontal="center" vertical="center"/>
    </xf>
    <xf numFmtId="14" fontId="2" fillId="0" borderId="4" xfId="0" applyNumberFormat="1" applyFont="1" applyBorder="1"/>
    <xf numFmtId="0" fontId="2" fillId="0" borderId="5" xfId="0" applyFont="1" applyBorder="1" applyAlignment="1">
      <alignment horizontal="left" vertical="center"/>
    </xf>
    <xf numFmtId="0" fontId="2" fillId="0" borderId="5" xfId="0" applyFont="1" applyBorder="1" applyAlignment="1">
      <alignment horizontal="center"/>
    </xf>
    <xf numFmtId="0" fontId="2" fillId="0" borderId="5" xfId="0" applyFont="1" applyBorder="1" applyAlignment="1">
      <alignment horizontal="center" vertical="center"/>
    </xf>
    <xf numFmtId="167" fontId="2" fillId="3" borderId="5" xfId="4" applyNumberFormat="1" applyFont="1" applyFill="1" applyBorder="1" applyAlignment="1">
      <alignment horizontal="center" vertical="center"/>
    </xf>
    <xf numFmtId="167" fontId="2" fillId="4" borderId="7" xfId="4" applyNumberFormat="1" applyFont="1" applyFill="1" applyBorder="1" applyAlignment="1">
      <alignment horizontal="right" vertical="center" wrapText="1"/>
    </xf>
    <xf numFmtId="0" fontId="3" fillId="0" borderId="18" xfId="0" applyFont="1" applyBorder="1" applyAlignment="1">
      <alignment horizontal="center" vertical="center" wrapText="1"/>
    </xf>
    <xf numFmtId="3" fontId="3" fillId="0" borderId="18" xfId="0" applyNumberFormat="1" applyFont="1" applyBorder="1" applyAlignment="1">
      <alignment horizontal="center" vertical="center" wrapText="1"/>
    </xf>
    <xf numFmtId="3" fontId="3" fillId="0" borderId="18" xfId="0" applyNumberFormat="1" applyFont="1" applyBorder="1" applyAlignment="1">
      <alignment horizontal="right" vertical="center" wrapText="1"/>
    </xf>
    <xf numFmtId="3" fontId="3" fillId="0" borderId="1" xfId="0" applyNumberFormat="1" applyFont="1" applyBorder="1" applyAlignment="1">
      <alignment horizontal="center" vertical="center" wrapText="1"/>
    </xf>
    <xf numFmtId="0" fontId="2" fillId="0" borderId="3" xfId="0" applyFont="1" applyBorder="1" applyAlignment="1">
      <alignment vertical="center" wrapText="1"/>
    </xf>
    <xf numFmtId="3" fontId="2" fillId="0" borderId="3" xfId="0" applyNumberFormat="1" applyFont="1" applyBorder="1" applyAlignment="1">
      <alignment horizontal="right" vertical="center" wrapText="1"/>
    </xf>
    <xf numFmtId="3" fontId="2" fillId="0" borderId="3" xfId="0" applyNumberFormat="1" applyFont="1" applyBorder="1" applyAlignment="1">
      <alignment wrapText="1"/>
    </xf>
    <xf numFmtId="3" fontId="2" fillId="0" borderId="4" xfId="0" applyNumberFormat="1" applyFont="1" applyBorder="1" applyAlignment="1">
      <alignment horizontal="right" vertical="center" wrapText="1"/>
    </xf>
    <xf numFmtId="3" fontId="2" fillId="0" borderId="4" xfId="0" applyNumberFormat="1" applyFont="1" applyBorder="1" applyAlignment="1">
      <alignment wrapText="1"/>
    </xf>
    <xf numFmtId="0" fontId="2" fillId="0" borderId="4" xfId="0" applyFont="1" applyBorder="1" applyAlignment="1">
      <alignment horizontal="left" vertical="center" wrapText="1"/>
    </xf>
    <xf numFmtId="0" fontId="6" fillId="0" borderId="3" xfId="0" applyFont="1" applyBorder="1" applyAlignment="1">
      <alignment horizontal="left" vertical="center" wrapText="1"/>
    </xf>
    <xf numFmtId="3" fontId="2" fillId="0" borderId="3" xfId="0" applyNumberFormat="1"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left" vertical="center" wrapText="1"/>
    </xf>
    <xf numFmtId="3" fontId="2" fillId="0" borderId="5" xfId="0" applyNumberFormat="1" applyFont="1" applyBorder="1" applyAlignment="1">
      <alignment horizontal="right" vertical="center" wrapText="1"/>
    </xf>
    <xf numFmtId="0" fontId="2" fillId="0" borderId="19" xfId="0" applyFont="1" applyBorder="1" applyAlignment="1">
      <alignment horizontal="center" vertical="center" wrapText="1"/>
    </xf>
    <xf numFmtId="0" fontId="2" fillId="0" borderId="19" xfId="3" applyFont="1" applyBorder="1" applyAlignment="1">
      <alignment horizontal="left" vertical="center" wrapText="1"/>
    </xf>
    <xf numFmtId="0" fontId="2" fillId="0" borderId="19" xfId="3" applyFont="1" applyBorder="1" applyAlignment="1">
      <alignment horizontal="center" vertical="center" wrapText="1"/>
    </xf>
    <xf numFmtId="167" fontId="2" fillId="0" borderId="19" xfId="4" applyNumberFormat="1" applyFont="1" applyBorder="1" applyAlignment="1">
      <alignment horizontal="center" vertical="center" wrapText="1"/>
    </xf>
    <xf numFmtId="3" fontId="2" fillId="0" borderId="19" xfId="0" applyNumberFormat="1" applyFont="1" applyBorder="1" applyAlignment="1">
      <alignment horizontal="right" vertical="center" wrapText="1"/>
    </xf>
    <xf numFmtId="0" fontId="2" fillId="0" borderId="5" xfId="3" applyFont="1" applyBorder="1" applyAlignment="1">
      <alignment horizontal="left" vertical="center" wrapText="1"/>
    </xf>
    <xf numFmtId="0" fontId="2" fillId="0" borderId="5" xfId="3" applyFont="1" applyBorder="1" applyAlignment="1">
      <alignment horizontal="center" vertical="center" wrapText="1"/>
    </xf>
    <xf numFmtId="167" fontId="2" fillId="0" borderId="5" xfId="4" applyNumberFormat="1" applyFont="1" applyBorder="1" applyAlignment="1">
      <alignment horizontal="center" vertical="center" wrapText="1"/>
    </xf>
    <xf numFmtId="3" fontId="17" fillId="0" borderId="9" xfId="2" applyNumberFormat="1" applyFont="1" applyBorder="1" applyAlignment="1">
      <alignment vertical="center" wrapText="1"/>
    </xf>
    <xf numFmtId="167" fontId="14" fillId="3" borderId="4" xfId="4" applyNumberFormat="1" applyFont="1" applyFill="1" applyBorder="1" applyAlignment="1">
      <alignment horizontal="center" vertical="center" wrapText="1"/>
    </xf>
    <xf numFmtId="167" fontId="14" fillId="4" borderId="4" xfId="4" applyNumberFormat="1" applyFont="1" applyFill="1" applyBorder="1" applyAlignment="1">
      <alignment horizontal="center" vertical="center" wrapText="1"/>
    </xf>
    <xf numFmtId="167" fontId="14" fillId="5" borderId="4" xfId="4" applyNumberFormat="1" applyFont="1" applyFill="1" applyBorder="1" applyAlignment="1">
      <alignment horizontal="center" vertical="center" wrapText="1"/>
    </xf>
    <xf numFmtId="167" fontId="14" fillId="0" borderId="4" xfId="4" applyNumberFormat="1" applyFont="1" applyBorder="1" applyAlignment="1">
      <alignment horizontal="center" vertical="center" wrapText="1"/>
    </xf>
    <xf numFmtId="3" fontId="18" fillId="0" borderId="9" xfId="2" applyNumberFormat="1" applyFont="1" applyBorder="1" applyAlignment="1">
      <alignment horizontal="center" vertical="center" wrapText="1"/>
    </xf>
    <xf numFmtId="167" fontId="19" fillId="3" borderId="4" xfId="4" applyNumberFormat="1" applyFont="1" applyFill="1" applyBorder="1" applyAlignment="1">
      <alignment horizontal="center" vertical="center" wrapText="1"/>
    </xf>
    <xf numFmtId="167" fontId="19" fillId="4" borderId="4" xfId="4" applyNumberFormat="1" applyFont="1" applyFill="1" applyBorder="1" applyAlignment="1">
      <alignment horizontal="center" vertical="center" wrapText="1"/>
    </xf>
    <xf numFmtId="167" fontId="19" fillId="5" borderId="4" xfId="4" applyNumberFormat="1" applyFont="1" applyFill="1" applyBorder="1" applyAlignment="1">
      <alignment horizontal="center" vertical="center" wrapText="1"/>
    </xf>
    <xf numFmtId="167" fontId="19" fillId="0" borderId="4" xfId="4" applyNumberFormat="1" applyFont="1" applyBorder="1" applyAlignment="1">
      <alignment horizontal="center" vertical="center" wrapText="1"/>
    </xf>
    <xf numFmtId="167" fontId="14" fillId="4" borderId="3" xfId="4" applyNumberFormat="1" applyFont="1" applyFill="1" applyBorder="1" applyAlignment="1">
      <alignment horizontal="center" vertical="center" wrapText="1"/>
    </xf>
    <xf numFmtId="167" fontId="14" fillId="4" borderId="4" xfId="4" applyNumberFormat="1" applyFont="1" applyFill="1" applyBorder="1" applyAlignment="1">
      <alignment horizontal="center" vertical="center"/>
    </xf>
    <xf numFmtId="167" fontId="14" fillId="3" borderId="4" xfId="4" applyNumberFormat="1" applyFont="1" applyFill="1" applyBorder="1" applyAlignment="1">
      <alignment horizontal="center" vertical="center"/>
    </xf>
    <xf numFmtId="167" fontId="14" fillId="3" borderId="5" xfId="4" applyNumberFormat="1" applyFont="1" applyFill="1" applyBorder="1" applyAlignment="1">
      <alignment horizontal="center" vertical="center"/>
    </xf>
    <xf numFmtId="167" fontId="19" fillId="4" borderId="3" xfId="4" applyNumberFormat="1" applyFont="1" applyFill="1" applyBorder="1" applyAlignment="1">
      <alignment horizontal="center" vertical="center" wrapText="1"/>
    </xf>
    <xf numFmtId="167" fontId="19" fillId="4" borderId="4" xfId="4" applyNumberFormat="1" applyFont="1" applyFill="1" applyBorder="1" applyAlignment="1">
      <alignment horizontal="center" vertical="center"/>
    </xf>
    <xf numFmtId="167" fontId="19" fillId="3" borderId="4" xfId="4" applyNumberFormat="1" applyFont="1" applyFill="1" applyBorder="1" applyAlignment="1">
      <alignment horizontal="center" vertical="center"/>
    </xf>
    <xf numFmtId="167" fontId="19" fillId="3" borderId="5" xfId="4" applyNumberFormat="1" applyFont="1" applyFill="1" applyBorder="1" applyAlignment="1">
      <alignment horizontal="center" vertical="center"/>
    </xf>
    <xf numFmtId="3" fontId="13" fillId="0" borderId="9" xfId="2" applyNumberFormat="1" applyFont="1" applyBorder="1" applyAlignment="1">
      <alignment vertical="center" wrapText="1"/>
    </xf>
    <xf numFmtId="167" fontId="5" fillId="3" borderId="7" xfId="4" applyNumberFormat="1" applyFont="1" applyFill="1" applyBorder="1" applyAlignment="1">
      <alignment horizontal="center" vertical="center" wrapText="1"/>
    </xf>
    <xf numFmtId="3" fontId="20" fillId="0" borderId="9" xfId="2" applyNumberFormat="1" applyFont="1" applyBorder="1" applyAlignment="1">
      <alignment horizontal="center" vertical="center" wrapText="1"/>
    </xf>
    <xf numFmtId="167" fontId="7" fillId="4" borderId="7" xfId="4" applyNumberFormat="1" applyFont="1" applyFill="1" applyBorder="1" applyAlignment="1">
      <alignment horizontal="center" vertical="center" wrapText="1"/>
    </xf>
    <xf numFmtId="167" fontId="7" fillId="3" borderId="4" xfId="4" applyNumberFormat="1" applyFont="1" applyFill="1" applyBorder="1" applyAlignment="1">
      <alignment horizontal="center" vertical="center" wrapText="1"/>
    </xf>
    <xf numFmtId="167" fontId="7" fillId="4" borderId="4" xfId="4" applyNumberFormat="1" applyFont="1" applyFill="1" applyBorder="1" applyAlignment="1">
      <alignment horizontal="center" vertical="center" wrapText="1"/>
    </xf>
    <xf numFmtId="3" fontId="13" fillId="0" borderId="1" xfId="2" applyNumberFormat="1" applyFont="1" applyBorder="1" applyAlignment="1">
      <alignment vertical="center" wrapText="1"/>
    </xf>
    <xf numFmtId="167" fontId="5" fillId="0" borderId="3" xfId="4" applyNumberFormat="1" applyFont="1" applyBorder="1" applyAlignment="1">
      <alignment horizontal="center" vertical="center" wrapText="1"/>
    </xf>
    <xf numFmtId="3" fontId="5" fillId="0" borderId="3" xfId="0" applyNumberFormat="1" applyFont="1" applyBorder="1" applyAlignment="1">
      <alignment horizontal="right" vertical="center" wrapText="1"/>
    </xf>
    <xf numFmtId="3" fontId="20" fillId="0" borderId="1" xfId="0" applyNumberFormat="1" applyFont="1" applyBorder="1" applyAlignment="1">
      <alignment horizontal="center" vertical="center" wrapText="1"/>
    </xf>
    <xf numFmtId="3" fontId="7" fillId="0" borderId="3" xfId="0" applyNumberFormat="1" applyFont="1" applyBorder="1" applyAlignment="1">
      <alignment horizontal="right" vertical="center" wrapText="1"/>
    </xf>
    <xf numFmtId="3" fontId="7" fillId="0" borderId="4" xfId="0" applyNumberFormat="1" applyFont="1" applyBorder="1" applyAlignment="1">
      <alignment horizontal="right" vertical="center" wrapText="1"/>
    </xf>
    <xf numFmtId="167" fontId="5" fillId="0" borderId="19" xfId="4" applyNumberFormat="1" applyFont="1" applyBorder="1" applyAlignment="1">
      <alignment horizontal="center" vertical="center" wrapText="1"/>
    </xf>
    <xf numFmtId="167" fontId="5" fillId="0" borderId="5" xfId="4" applyNumberFormat="1" applyFont="1" applyBorder="1" applyAlignment="1">
      <alignment horizontal="center" vertical="center" wrapText="1"/>
    </xf>
    <xf numFmtId="167" fontId="7" fillId="0" borderId="19" xfId="4" applyNumberFormat="1" applyFont="1" applyBorder="1" applyAlignment="1">
      <alignment horizontal="center" vertical="center" wrapText="1"/>
    </xf>
    <xf numFmtId="167" fontId="7" fillId="0" borderId="4" xfId="4" applyNumberFormat="1" applyFont="1" applyBorder="1" applyAlignment="1">
      <alignment horizontal="center" vertical="center" wrapText="1"/>
    </xf>
    <xf numFmtId="167" fontId="7" fillId="0" borderId="5" xfId="4" applyNumberFormat="1" applyFont="1" applyBorder="1" applyAlignment="1">
      <alignment horizontal="center" vertical="center" wrapText="1"/>
    </xf>
    <xf numFmtId="0" fontId="2" fillId="3" borderId="19" xfId="0" applyFont="1" applyFill="1" applyBorder="1" applyAlignment="1">
      <alignment vertical="center" wrapText="1"/>
    </xf>
    <xf numFmtId="0" fontId="2" fillId="3" borderId="19" xfId="0" applyFont="1" applyFill="1" applyBorder="1" applyAlignment="1">
      <alignment horizontal="left" vertical="center" wrapText="1"/>
    </xf>
    <xf numFmtId="167" fontId="14" fillId="3" borderId="19" xfId="4" applyNumberFormat="1" applyFont="1" applyFill="1" applyBorder="1" applyAlignment="1">
      <alignment horizontal="center" vertical="center" wrapText="1"/>
    </xf>
    <xf numFmtId="167" fontId="19" fillId="3" borderId="19" xfId="4" applyNumberFormat="1" applyFont="1" applyFill="1" applyBorder="1" applyAlignment="1">
      <alignment horizontal="center" vertical="center" wrapText="1"/>
    </xf>
    <xf numFmtId="167" fontId="2" fillId="3" borderId="19" xfId="4" applyNumberFormat="1" applyFont="1" applyFill="1" applyBorder="1" applyAlignment="1">
      <alignment horizontal="center" vertical="center" wrapText="1"/>
    </xf>
    <xf numFmtId="167" fontId="2" fillId="3" borderId="19" xfId="4" applyNumberFormat="1" applyFont="1" applyFill="1" applyBorder="1" applyAlignment="1">
      <alignment horizontal="center" vertical="top" wrapText="1"/>
    </xf>
    <xf numFmtId="3" fontId="2" fillId="3" borderId="19" xfId="0" applyNumberFormat="1" applyFont="1" applyFill="1" applyBorder="1" applyAlignment="1">
      <alignment vertical="center" wrapText="1"/>
    </xf>
    <xf numFmtId="0" fontId="2" fillId="3" borderId="5" xfId="0" applyFont="1" applyFill="1" applyBorder="1" applyAlignment="1">
      <alignment vertical="center" wrapText="1"/>
    </xf>
    <xf numFmtId="0" fontId="2" fillId="3" borderId="5" xfId="0" applyFont="1" applyFill="1" applyBorder="1" applyAlignment="1">
      <alignment horizontal="left" vertical="center" wrapText="1"/>
    </xf>
    <xf numFmtId="167" fontId="14" fillId="0" borderId="5" xfId="4" applyNumberFormat="1" applyFont="1" applyBorder="1" applyAlignment="1">
      <alignment horizontal="center" vertical="center" wrapText="1"/>
    </xf>
    <xf numFmtId="167" fontId="19" fillId="0" borderId="5" xfId="4" applyNumberFormat="1" applyFont="1" applyBorder="1" applyAlignment="1">
      <alignment horizontal="center" vertical="center" wrapText="1"/>
    </xf>
    <xf numFmtId="167" fontId="2" fillId="3" borderId="5" xfId="4" applyNumberFormat="1" applyFont="1" applyFill="1" applyBorder="1" applyAlignment="1">
      <alignment horizontal="center" vertical="top" wrapText="1"/>
    </xf>
    <xf numFmtId="3" fontId="2" fillId="3" borderId="5" xfId="0" applyNumberFormat="1" applyFont="1" applyFill="1" applyBorder="1" applyAlignment="1">
      <alignment vertical="center" wrapText="1"/>
    </xf>
    <xf numFmtId="3" fontId="17" fillId="0" borderId="20" xfId="2" applyNumberFormat="1" applyFont="1" applyBorder="1" applyAlignment="1">
      <alignment vertical="center" wrapText="1"/>
    </xf>
    <xf numFmtId="3" fontId="18" fillId="0" borderId="20" xfId="2" applyNumberFormat="1" applyFont="1" applyBorder="1" applyAlignment="1">
      <alignment horizontal="center" vertical="center" wrapText="1"/>
    </xf>
    <xf numFmtId="3" fontId="12" fillId="0" borderId="20" xfId="2" applyNumberFormat="1" applyFont="1" applyBorder="1" applyAlignment="1">
      <alignment horizontal="center" vertical="center" wrapText="1"/>
    </xf>
    <xf numFmtId="3" fontId="13" fillId="0" borderId="18" xfId="2" applyNumberFormat="1" applyFont="1" applyBorder="1" applyAlignment="1">
      <alignment vertical="center" wrapText="1"/>
    </xf>
    <xf numFmtId="3" fontId="2" fillId="0" borderId="5" xfId="0" applyNumberFormat="1" applyFont="1" applyBorder="1" applyAlignment="1">
      <alignment wrapText="1"/>
    </xf>
    <xf numFmtId="0" fontId="2" fillId="0" borderId="8" xfId="0" applyFont="1" applyBorder="1" applyAlignment="1">
      <alignment horizontal="center" vertical="center" wrapText="1"/>
    </xf>
    <xf numFmtId="0" fontId="6" fillId="0" borderId="8" xfId="0" applyFont="1" applyBorder="1" applyAlignment="1">
      <alignment horizontal="left" vertical="center" wrapText="1"/>
    </xf>
    <xf numFmtId="0" fontId="2" fillId="0" borderId="8" xfId="0" applyFont="1" applyBorder="1" applyAlignment="1">
      <alignment vertical="center" wrapText="1"/>
    </xf>
    <xf numFmtId="0" fontId="5" fillId="0" borderId="8" xfId="0" applyFont="1" applyBorder="1" applyAlignment="1">
      <alignment horizontal="center" vertical="center" wrapText="1"/>
    </xf>
    <xf numFmtId="3" fontId="2" fillId="0" borderId="8" xfId="0" applyNumberFormat="1" applyFont="1" applyBorder="1" applyAlignment="1">
      <alignment horizontal="right" vertical="center" wrapText="1"/>
    </xf>
    <xf numFmtId="3" fontId="3" fillId="0" borderId="8" xfId="0" applyNumberFormat="1" applyFont="1" applyBorder="1" applyAlignment="1">
      <alignment vertical="center" wrapText="1"/>
    </xf>
    <xf numFmtId="3" fontId="5" fillId="0" borderId="5" xfId="0" applyNumberFormat="1" applyFont="1" applyBorder="1" applyAlignment="1">
      <alignment horizontal="right" vertical="center" wrapText="1"/>
    </xf>
    <xf numFmtId="3" fontId="7" fillId="0" borderId="5" xfId="0" applyNumberFormat="1" applyFont="1" applyBorder="1" applyAlignment="1">
      <alignment horizontal="right" vertical="center" wrapText="1"/>
    </xf>
    <xf numFmtId="3" fontId="2" fillId="0" borderId="5" xfId="0" applyNumberFormat="1" applyFont="1" applyBorder="1" applyAlignment="1">
      <alignment vertical="center" wrapText="1"/>
    </xf>
    <xf numFmtId="0" fontId="4" fillId="0" borderId="8" xfId="0" applyFont="1" applyBorder="1" applyAlignment="1">
      <alignment horizontal="left"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1" fontId="3" fillId="0" borderId="2" xfId="0" applyNumberFormat="1" applyFont="1" applyBorder="1" applyAlignment="1">
      <alignment horizontal="center" vertical="center"/>
    </xf>
    <xf numFmtId="3" fontId="3" fillId="0" borderId="2" xfId="0" applyNumberFormat="1" applyFont="1" applyBorder="1" applyAlignment="1">
      <alignment horizontal="right" vertical="center" wrapText="1"/>
    </xf>
    <xf numFmtId="0" fontId="3" fillId="0" borderId="2" xfId="0" applyFont="1" applyBorder="1" applyAlignment="1">
      <alignment vertical="center"/>
    </xf>
    <xf numFmtId="0" fontId="2" fillId="0" borderId="0" xfId="0" applyFont="1" applyAlignment="1"/>
    <xf numFmtId="0" fontId="6" fillId="0" borderId="2" xfId="1" applyFont="1" applyBorder="1" applyAlignment="1">
      <alignment horizontal="center" vertical="center" wrapText="1"/>
    </xf>
    <xf numFmtId="0" fontId="2" fillId="0" borderId="0" xfId="0" applyFont="1" applyAlignment="1"/>
    <xf numFmtId="3" fontId="2" fillId="0" borderId="7" xfId="0" applyNumberFormat="1" applyFont="1" applyBorder="1" applyAlignment="1">
      <alignment horizontal="center" vertical="center" wrapText="1"/>
    </xf>
    <xf numFmtId="0" fontId="2" fillId="0" borderId="7" xfId="0" applyFont="1" applyBorder="1"/>
    <xf numFmtId="0" fontId="2" fillId="0" borderId="7" xfId="0" applyFont="1" applyBorder="1" applyAlignment="1">
      <alignment horizontal="center" vertical="center" wrapText="1"/>
    </xf>
    <xf numFmtId="167" fontId="5" fillId="0" borderId="7" xfId="4" applyNumberFormat="1" applyFont="1" applyBorder="1" applyAlignment="1">
      <alignment horizontal="right" vertical="center" wrapText="1"/>
    </xf>
    <xf numFmtId="167" fontId="2" fillId="0" borderId="7" xfId="0" applyNumberFormat="1" applyFont="1" applyBorder="1" applyAlignment="1">
      <alignment horizontal="center" vertical="center" wrapText="1"/>
    </xf>
    <xf numFmtId="3" fontId="2" fillId="0" borderId="7" xfId="0" applyNumberFormat="1" applyFont="1" applyBorder="1" applyAlignment="1">
      <alignment wrapText="1"/>
    </xf>
    <xf numFmtId="0" fontId="2" fillId="0" borderId="7" xfId="0" applyFont="1" applyBorder="1" applyAlignment="1">
      <alignment horizontal="left"/>
    </xf>
    <xf numFmtId="0" fontId="2" fillId="0" borderId="4" xfId="0" applyFont="1" applyBorder="1" applyAlignment="1">
      <alignment horizontal="left"/>
    </xf>
    <xf numFmtId="0" fontId="2" fillId="0" borderId="7" xfId="0" applyFont="1" applyBorder="1" applyAlignment="1">
      <alignment vertical="center" wrapText="1"/>
    </xf>
    <xf numFmtId="0" fontId="2" fillId="0" borderId="0" xfId="0" applyFont="1" applyAlignment="1"/>
    <xf numFmtId="0" fontId="2" fillId="4" borderId="22"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3" fillId="3" borderId="22" xfId="0" applyFont="1" applyFill="1" applyBorder="1" applyAlignment="1">
      <alignment vertical="center"/>
    </xf>
    <xf numFmtId="0" fontId="2" fillId="0" borderId="0" xfId="0" applyFont="1" applyAlignment="1"/>
    <xf numFmtId="0" fontId="9" fillId="0" borderId="0" xfId="0" applyFont="1" applyAlignment="1">
      <alignment horizontal="center"/>
    </xf>
    <xf numFmtId="0" fontId="3" fillId="0" borderId="0" xfId="0" applyFont="1" applyAlignment="1">
      <alignment horizontal="right" wrapText="1"/>
    </xf>
    <xf numFmtId="0" fontId="4" fillId="0" borderId="0" xfId="0" applyFont="1" applyAlignment="1">
      <alignment horizontal="center" vertical="center" wrapText="1"/>
    </xf>
    <xf numFmtId="0" fontId="3" fillId="0" borderId="6" xfId="0" applyFont="1" applyBorder="1" applyAlignment="1">
      <alignment horizontal="center" vertical="center" wrapText="1"/>
    </xf>
    <xf numFmtId="0" fontId="2" fillId="0" borderId="6" xfId="0" applyFont="1" applyBorder="1"/>
    <xf numFmtId="0" fontId="3" fillId="0" borderId="15" xfId="2" applyFont="1" applyBorder="1" applyAlignment="1">
      <alignment horizontal="center" vertical="center" wrapText="1"/>
    </xf>
    <xf numFmtId="0" fontId="3" fillId="0" borderId="16" xfId="2" applyFont="1" applyBorder="1" applyAlignment="1">
      <alignment horizontal="center" vertical="center" wrapText="1"/>
    </xf>
    <xf numFmtId="3" fontId="3" fillId="0" borderId="13" xfId="2" applyNumberFormat="1" applyFont="1" applyBorder="1" applyAlignment="1">
      <alignment horizontal="center" vertical="center" wrapText="1"/>
    </xf>
    <xf numFmtId="3" fontId="3" fillId="0" borderId="15" xfId="2" applyNumberFormat="1" applyFont="1" applyBorder="1" applyAlignment="1">
      <alignment horizontal="center" vertical="center" wrapText="1"/>
    </xf>
    <xf numFmtId="3" fontId="3" fillId="0" borderId="16" xfId="2"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0" fontId="2" fillId="0" borderId="16" xfId="0" applyFont="1" applyBorder="1" applyAlignment="1">
      <alignment horizontal="center" vertical="center"/>
    </xf>
    <xf numFmtId="0" fontId="3" fillId="0" borderId="1" xfId="0" applyFont="1" applyBorder="1" applyAlignment="1">
      <alignment horizontal="left" vertical="center" wrapText="1"/>
    </xf>
    <xf numFmtId="3" fontId="12" fillId="0" borderId="12" xfId="2" applyNumberFormat="1" applyFont="1" applyBorder="1" applyAlignment="1">
      <alignment horizontal="center" vertical="center" wrapText="1"/>
    </xf>
    <xf numFmtId="3" fontId="3" fillId="0" borderId="12" xfId="2" applyNumberFormat="1" applyFont="1" applyBorder="1" applyAlignment="1">
      <alignment horizontal="center" vertical="center" wrapText="1"/>
    </xf>
    <xf numFmtId="3" fontId="3" fillId="0" borderId="20" xfId="2"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0" fontId="2" fillId="0" borderId="21" xfId="0" applyFont="1" applyBorder="1" applyAlignment="1">
      <alignment horizontal="center" vertical="center"/>
    </xf>
    <xf numFmtId="3" fontId="3" fillId="0" borderId="9" xfId="2" applyNumberFormat="1" applyFont="1" applyBorder="1" applyAlignment="1">
      <alignment horizontal="center" vertical="center" wrapText="1"/>
    </xf>
    <xf numFmtId="0" fontId="3" fillId="0" borderId="12" xfId="2" applyFont="1" applyBorder="1" applyAlignment="1">
      <alignment horizontal="center" vertical="center" wrapText="1"/>
    </xf>
    <xf numFmtId="0" fontId="3" fillId="0" borderId="20" xfId="2" applyFont="1" applyBorder="1" applyAlignment="1">
      <alignment horizontal="center" vertical="center" wrapText="1"/>
    </xf>
    <xf numFmtId="3" fontId="12" fillId="0" borderId="10" xfId="2" applyNumberFormat="1" applyFont="1" applyBorder="1" applyAlignment="1">
      <alignment horizontal="center" vertical="center" wrapText="1"/>
    </xf>
    <xf numFmtId="3" fontId="12" fillId="0" borderId="9" xfId="2"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0" fontId="2" fillId="0" borderId="14" xfId="0" applyFont="1" applyBorder="1" applyAlignment="1">
      <alignment horizontal="center" vertical="center"/>
    </xf>
    <xf numFmtId="0" fontId="3" fillId="0" borderId="9" xfId="2" applyFont="1" applyBorder="1" applyAlignment="1">
      <alignment horizontal="center" vertical="center" wrapText="1"/>
    </xf>
    <xf numFmtId="0" fontId="12" fillId="0" borderId="9" xfId="2" applyFont="1" applyBorder="1" applyAlignment="1">
      <alignment horizontal="center" vertical="center" wrapText="1"/>
    </xf>
    <xf numFmtId="0" fontId="6" fillId="0" borderId="0" xfId="0" applyFont="1" applyAlignment="1">
      <alignment horizontal="center"/>
    </xf>
    <xf numFmtId="0" fontId="3" fillId="0" borderId="2" xfId="1" applyFont="1" applyAlignment="1">
      <alignment horizontal="center" vertical="center"/>
    </xf>
    <xf numFmtId="0" fontId="6" fillId="0" borderId="2" xfId="1"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xf numFmtId="0" fontId="9" fillId="0" borderId="0" xfId="0" applyFont="1" applyAlignment="1">
      <alignment horizontal="center"/>
    </xf>
    <xf numFmtId="0" fontId="3" fillId="0" borderId="0" xfId="0" applyFont="1" applyAlignment="1">
      <alignment horizontal="center"/>
    </xf>
    <xf numFmtId="0" fontId="12" fillId="0" borderId="0" xfId="0" applyFont="1" applyAlignment="1">
      <alignment horizontal="center"/>
    </xf>
    <xf numFmtId="3" fontId="3" fillId="0" borderId="17" xfId="0" applyNumberFormat="1" applyFont="1" applyBorder="1" applyAlignment="1">
      <alignment horizontal="center" vertical="center" wrapText="1"/>
    </xf>
    <xf numFmtId="0" fontId="2" fillId="0" borderId="17" xfId="0" applyFont="1" applyBorder="1" applyAlignment="1">
      <alignment horizontal="center" vertical="center"/>
    </xf>
    <xf numFmtId="0" fontId="2" fillId="0" borderId="2" xfId="0" applyFont="1" applyBorder="1"/>
    <xf numFmtId="0" fontId="3" fillId="0" borderId="2" xfId="0" applyFont="1" applyBorder="1" applyAlignment="1">
      <alignment horizontal="center" vertical="center"/>
    </xf>
    <xf numFmtId="0" fontId="3" fillId="0" borderId="2" xfId="1" applyFont="1" applyAlignment="1">
      <alignment horizontal="center" vertical="center" wrapText="1"/>
    </xf>
    <xf numFmtId="0" fontId="3" fillId="0" borderId="6" xfId="0" applyFont="1" applyBorder="1" applyAlignment="1">
      <alignment horizontal="left" vertical="center" wrapText="1"/>
    </xf>
    <xf numFmtId="0" fontId="2" fillId="0" borderId="6" xfId="0" applyFont="1" applyBorder="1" applyAlignment="1">
      <alignment horizontal="left"/>
    </xf>
    <xf numFmtId="0" fontId="3" fillId="0" borderId="23" xfId="0" applyFont="1" applyBorder="1" applyAlignment="1">
      <alignment horizontal="left" vertical="center"/>
    </xf>
    <xf numFmtId="0" fontId="2" fillId="0" borderId="23" xfId="0" applyFont="1" applyBorder="1" applyAlignment="1">
      <alignment horizontal="left"/>
    </xf>
    <xf numFmtId="0" fontId="2" fillId="0" borderId="24" xfId="0" applyFont="1" applyBorder="1" applyAlignment="1">
      <alignment horizontal="center" vertical="center" wrapText="1"/>
    </xf>
    <xf numFmtId="0" fontId="3" fillId="0" borderId="2" xfId="0" applyFont="1" applyBorder="1" applyAlignment="1">
      <alignment horizontal="left" vertical="center" wrapText="1"/>
    </xf>
    <xf numFmtId="0" fontId="2" fillId="0" borderId="2" xfId="0" applyFont="1" applyBorder="1" applyAlignment="1">
      <alignment horizontal="left"/>
    </xf>
    <xf numFmtId="0" fontId="2" fillId="3" borderId="24" xfId="0" applyFont="1" applyFill="1" applyBorder="1" applyAlignment="1">
      <alignment horizontal="center" vertical="center" wrapText="1"/>
    </xf>
    <xf numFmtId="0" fontId="2" fillId="3" borderId="24" xfId="0" applyFont="1" applyFill="1" applyBorder="1" applyAlignment="1">
      <alignment horizontal="left" vertical="center" wrapText="1"/>
    </xf>
    <xf numFmtId="3" fontId="2" fillId="0" borderId="24" xfId="0" applyNumberFormat="1" applyFont="1" applyBorder="1" applyAlignment="1">
      <alignment horizontal="center" vertical="center" wrapText="1"/>
    </xf>
    <xf numFmtId="0" fontId="2" fillId="3" borderId="24" xfId="0" applyFont="1" applyFill="1" applyBorder="1"/>
    <xf numFmtId="0" fontId="2" fillId="0" borderId="5" xfId="0" applyFont="1" applyBorder="1" applyAlignment="1">
      <alignment horizontal="left" vertical="center" wrapText="1"/>
    </xf>
  </cellXfs>
  <cellStyles count="5">
    <cellStyle name="Comma" xfId="4" builtinId="3"/>
    <cellStyle name="Normal" xfId="0" builtinId="0"/>
    <cellStyle name="Normal 2" xfId="3"/>
    <cellStyle name="Normal_KH mua HC-DC 2014 du toan" xfId="2"/>
    <cellStyle name="Normal_XD HC- VT nam 201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1724025</xdr:colOff>
      <xdr:row>3</xdr:row>
      <xdr:rowOff>38100</xdr:rowOff>
    </xdr:from>
    <xdr:to>
      <xdr:col>2</xdr:col>
      <xdr:colOff>838200</xdr:colOff>
      <xdr:row>3</xdr:row>
      <xdr:rowOff>39688</xdr:rowOff>
    </xdr:to>
    <xdr:cxnSp macro="">
      <xdr:nvCxnSpPr>
        <xdr:cNvPr id="5" name="Straight Connector 4"/>
        <xdr:cNvCxnSpPr/>
      </xdr:nvCxnSpPr>
      <xdr:spPr>
        <a:xfrm>
          <a:off x="2171700" y="1143000"/>
          <a:ext cx="22860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2</xdr:row>
      <xdr:rowOff>47625</xdr:rowOff>
    </xdr:from>
    <xdr:to>
      <xdr:col>1</xdr:col>
      <xdr:colOff>1990725</xdr:colOff>
      <xdr:row>2</xdr:row>
      <xdr:rowOff>47625</xdr:rowOff>
    </xdr:to>
    <xdr:sp macro="" textlink="">
      <xdr:nvSpPr>
        <xdr:cNvPr id="6" name="Line 1"/>
        <xdr:cNvSpPr>
          <a:spLocks noChangeShapeType="1"/>
        </xdr:cNvSpPr>
      </xdr:nvSpPr>
      <xdr:spPr bwMode="auto">
        <a:xfrm flipV="1">
          <a:off x="847725" y="447675"/>
          <a:ext cx="15144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6</xdr:col>
      <xdr:colOff>76199</xdr:colOff>
      <xdr:row>2</xdr:row>
      <xdr:rowOff>1</xdr:rowOff>
    </xdr:from>
    <xdr:to>
      <xdr:col>8</xdr:col>
      <xdr:colOff>428625</xdr:colOff>
      <xdr:row>2</xdr:row>
      <xdr:rowOff>1</xdr:rowOff>
    </xdr:to>
    <xdr:sp macro="" textlink="">
      <xdr:nvSpPr>
        <xdr:cNvPr id="7" name="Line 1"/>
        <xdr:cNvSpPr>
          <a:spLocks noChangeShapeType="1"/>
        </xdr:cNvSpPr>
      </xdr:nvSpPr>
      <xdr:spPr bwMode="auto">
        <a:xfrm>
          <a:off x="5286374" y="400051"/>
          <a:ext cx="1695451"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doc/thudoc.xla"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thudoc"/>
    </sheetNames>
    <definedNames>
      <definedName name="DocSoUni"/>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389"/>
  <sheetViews>
    <sheetView tabSelected="1" topLeftCell="A373" workbookViewId="0">
      <selection activeCell="C205" sqref="C205"/>
    </sheetView>
  </sheetViews>
  <sheetFormatPr defaultRowHeight="15.75"/>
  <cols>
    <col min="1" max="1" width="5.875" style="225" customWidth="1"/>
    <col min="2" max="2" width="41.625" style="225" customWidth="1"/>
    <col min="3" max="3" width="13" style="52" customWidth="1"/>
    <col min="4" max="4" width="13" style="225" customWidth="1"/>
    <col min="5" max="5" width="15.5" style="225" customWidth="1"/>
    <col min="6" max="6" width="5.125" style="225" customWidth="1"/>
    <col min="7" max="7" width="9" style="225"/>
    <col min="8" max="8" width="16.875" style="225" customWidth="1"/>
    <col min="9" max="16384" width="9" style="225"/>
  </cols>
  <sheetData>
    <row r="1" spans="1:5">
      <c r="A1" s="264" t="s">
        <v>475</v>
      </c>
      <c r="B1" s="264"/>
      <c r="C1" s="264"/>
      <c r="D1" s="264"/>
      <c r="E1" s="264"/>
    </row>
    <row r="2" spans="1:5" ht="55.5" customHeight="1">
      <c r="A2" s="265" t="s">
        <v>476</v>
      </c>
      <c r="B2" s="265"/>
      <c r="C2" s="265"/>
      <c r="D2" s="265"/>
      <c r="E2" s="265"/>
    </row>
    <row r="3" spans="1:5" ht="15.75" customHeight="1">
      <c r="A3" s="255" t="s">
        <v>480</v>
      </c>
      <c r="B3" s="255"/>
      <c r="C3" s="255"/>
      <c r="D3" s="255"/>
      <c r="E3" s="255"/>
    </row>
    <row r="5" spans="1:5">
      <c r="A5" s="268" t="s">
        <v>5</v>
      </c>
      <c r="B5" s="269"/>
      <c r="C5" s="269"/>
      <c r="D5" s="269"/>
      <c r="E5" s="269"/>
    </row>
    <row r="6" spans="1:5" ht="15.75" customHeight="1">
      <c r="A6" s="251" t="s">
        <v>2</v>
      </c>
      <c r="B6" s="252" t="s">
        <v>7</v>
      </c>
      <c r="C6" s="252" t="s">
        <v>8</v>
      </c>
      <c r="D6" s="252" t="s">
        <v>479</v>
      </c>
      <c r="E6" s="249" t="s">
        <v>4</v>
      </c>
    </row>
    <row r="7" spans="1:5">
      <c r="A7" s="251"/>
      <c r="B7" s="252"/>
      <c r="C7" s="252"/>
      <c r="D7" s="252"/>
      <c r="E7" s="250" t="s">
        <v>4</v>
      </c>
    </row>
    <row r="8" spans="1:5">
      <c r="A8" s="70">
        <v>1</v>
      </c>
      <c r="B8" s="176" t="s">
        <v>16</v>
      </c>
      <c r="C8" s="70" t="s">
        <v>420</v>
      </c>
      <c r="D8" s="70">
        <v>1</v>
      </c>
      <c r="E8" s="70"/>
    </row>
    <row r="9" spans="1:5">
      <c r="A9" s="6">
        <v>2</v>
      </c>
      <c r="B9" s="4" t="s">
        <v>18</v>
      </c>
      <c r="C9" s="6" t="s">
        <v>435</v>
      </c>
      <c r="D9" s="6">
        <v>1</v>
      </c>
      <c r="E9" s="6"/>
    </row>
    <row r="10" spans="1:5">
      <c r="A10" s="6">
        <v>3</v>
      </c>
      <c r="B10" s="4" t="s">
        <v>19</v>
      </c>
      <c r="C10" s="6" t="s">
        <v>422</v>
      </c>
      <c r="D10" s="6">
        <v>1</v>
      </c>
      <c r="E10" s="10"/>
    </row>
    <row r="11" spans="1:5">
      <c r="A11" s="6">
        <v>4</v>
      </c>
      <c r="B11" s="8" t="s">
        <v>20</v>
      </c>
      <c r="C11" s="10" t="s">
        <v>420</v>
      </c>
      <c r="D11" s="10">
        <v>2</v>
      </c>
      <c r="E11" s="6"/>
    </row>
    <row r="12" spans="1:5">
      <c r="A12" s="6">
        <v>5</v>
      </c>
      <c r="B12" s="4" t="s">
        <v>21</v>
      </c>
      <c r="C12" s="6" t="s">
        <v>420</v>
      </c>
      <c r="D12" s="6">
        <v>1</v>
      </c>
      <c r="E12" s="6"/>
    </row>
    <row r="13" spans="1:5">
      <c r="A13" s="6">
        <v>6</v>
      </c>
      <c r="B13" s="4" t="s">
        <v>23</v>
      </c>
      <c r="C13" s="6" t="s">
        <v>420</v>
      </c>
      <c r="D13" s="6">
        <v>1</v>
      </c>
      <c r="E13" s="6"/>
    </row>
    <row r="14" spans="1:5">
      <c r="A14" s="6">
        <v>7</v>
      </c>
      <c r="B14" s="4" t="s">
        <v>386</v>
      </c>
      <c r="C14" s="6" t="s">
        <v>436</v>
      </c>
      <c r="D14" s="6">
        <v>1</v>
      </c>
      <c r="E14" s="6"/>
    </row>
    <row r="15" spans="1:5">
      <c r="A15" s="6">
        <v>8</v>
      </c>
      <c r="B15" s="4" t="s">
        <v>387</v>
      </c>
      <c r="C15" s="6" t="s">
        <v>421</v>
      </c>
      <c r="D15" s="6">
        <v>2</v>
      </c>
      <c r="E15" s="10"/>
    </row>
    <row r="16" spans="1:5">
      <c r="A16" s="6">
        <v>9</v>
      </c>
      <c r="B16" s="4" t="s">
        <v>388</v>
      </c>
      <c r="C16" s="6" t="s">
        <v>12</v>
      </c>
      <c r="D16" s="6">
        <v>1</v>
      </c>
      <c r="E16" s="10"/>
    </row>
    <row r="17" spans="1:5">
      <c r="A17" s="6">
        <v>10</v>
      </c>
      <c r="B17" s="4" t="s">
        <v>388</v>
      </c>
      <c r="C17" s="6" t="s">
        <v>421</v>
      </c>
      <c r="D17" s="6">
        <v>1</v>
      </c>
      <c r="E17" s="10"/>
    </row>
    <row r="18" spans="1:5">
      <c r="A18" s="6">
        <v>11</v>
      </c>
      <c r="B18" s="8" t="s">
        <v>25</v>
      </c>
      <c r="C18" s="10" t="s">
        <v>27</v>
      </c>
      <c r="D18" s="10">
        <v>1</v>
      </c>
      <c r="E18" s="6"/>
    </row>
    <row r="19" spans="1:5">
      <c r="A19" s="6">
        <v>12</v>
      </c>
      <c r="B19" s="13" t="s">
        <v>28</v>
      </c>
      <c r="C19" s="12" t="s">
        <v>423</v>
      </c>
      <c r="D19" s="12">
        <v>1</v>
      </c>
      <c r="E19" s="10"/>
    </row>
    <row r="20" spans="1:5">
      <c r="A20" s="6">
        <v>13</v>
      </c>
      <c r="B20" s="7" t="s">
        <v>30</v>
      </c>
      <c r="C20" s="88" t="s">
        <v>333</v>
      </c>
      <c r="D20" s="88">
        <v>1</v>
      </c>
      <c r="E20" s="89"/>
    </row>
    <row r="21" spans="1:5">
      <c r="A21" s="6">
        <v>14</v>
      </c>
      <c r="B21" s="7" t="s">
        <v>31</v>
      </c>
      <c r="C21" s="88" t="s">
        <v>419</v>
      </c>
      <c r="D21" s="88">
        <v>1</v>
      </c>
      <c r="E21" s="10"/>
    </row>
    <row r="22" spans="1:5" ht="31.5">
      <c r="A22" s="6">
        <v>15</v>
      </c>
      <c r="B22" s="7" t="s">
        <v>32</v>
      </c>
      <c r="C22" s="88" t="s">
        <v>424</v>
      </c>
      <c r="D22" s="88">
        <v>1</v>
      </c>
      <c r="E22" s="89"/>
    </row>
    <row r="23" spans="1:5">
      <c r="A23" s="6">
        <v>16</v>
      </c>
      <c r="B23" s="7" t="s">
        <v>33</v>
      </c>
      <c r="C23" s="88" t="s">
        <v>419</v>
      </c>
      <c r="D23" s="88">
        <v>1</v>
      </c>
      <c r="E23" s="6"/>
    </row>
    <row r="24" spans="1:5">
      <c r="A24" s="6">
        <v>17</v>
      </c>
      <c r="B24" s="4" t="s">
        <v>34</v>
      </c>
      <c r="C24" s="6" t="s">
        <v>29</v>
      </c>
      <c r="D24" s="6">
        <v>1</v>
      </c>
      <c r="E24" s="6"/>
    </row>
    <row r="25" spans="1:5">
      <c r="A25" s="6">
        <v>18</v>
      </c>
      <c r="B25" s="8" t="s">
        <v>35</v>
      </c>
      <c r="C25" s="6" t="s">
        <v>420</v>
      </c>
      <c r="D25" s="10">
        <v>2</v>
      </c>
      <c r="E25" s="89"/>
    </row>
    <row r="26" spans="1:5">
      <c r="A26" s="6">
        <v>19</v>
      </c>
      <c r="B26" s="4" t="s">
        <v>36</v>
      </c>
      <c r="C26" s="6" t="s">
        <v>420</v>
      </c>
      <c r="D26" s="6">
        <v>2</v>
      </c>
      <c r="E26" s="6"/>
    </row>
    <row r="27" spans="1:5" ht="31.5">
      <c r="A27" s="6">
        <v>20</v>
      </c>
      <c r="B27" s="7" t="s">
        <v>37</v>
      </c>
      <c r="C27" s="88" t="s">
        <v>39</v>
      </c>
      <c r="D27" s="88">
        <v>1</v>
      </c>
      <c r="E27" s="6"/>
    </row>
    <row r="28" spans="1:5">
      <c r="A28" s="6">
        <v>21</v>
      </c>
      <c r="B28" s="90" t="s">
        <v>389</v>
      </c>
      <c r="C28" s="10" t="s">
        <v>436</v>
      </c>
      <c r="D28" s="10">
        <v>1</v>
      </c>
      <c r="E28" s="60"/>
    </row>
    <row r="29" spans="1:5">
      <c r="A29" s="6">
        <v>22</v>
      </c>
      <c r="B29" s="13" t="s">
        <v>40</v>
      </c>
      <c r="C29" s="12" t="s">
        <v>41</v>
      </c>
      <c r="D29" s="12">
        <v>1</v>
      </c>
      <c r="E29" s="17"/>
    </row>
    <row r="30" spans="1:5">
      <c r="A30" s="6">
        <v>23</v>
      </c>
      <c r="B30" s="13" t="s">
        <v>42</v>
      </c>
      <c r="C30" s="12" t="s">
        <v>41</v>
      </c>
      <c r="D30" s="12">
        <v>1</v>
      </c>
      <c r="E30" s="6"/>
    </row>
    <row r="31" spans="1:5">
      <c r="A31" s="6">
        <v>24</v>
      </c>
      <c r="B31" s="4" t="s">
        <v>43</v>
      </c>
      <c r="C31" s="10" t="s">
        <v>418</v>
      </c>
      <c r="D31" s="6">
        <v>1</v>
      </c>
      <c r="E31" s="89"/>
    </row>
    <row r="32" spans="1:5">
      <c r="A32" s="6">
        <v>25</v>
      </c>
      <c r="B32" s="8" t="s">
        <v>390</v>
      </c>
      <c r="C32" s="10" t="s">
        <v>422</v>
      </c>
      <c r="D32" s="10"/>
      <c r="E32" s="89"/>
    </row>
    <row r="33" spans="1:5">
      <c r="A33" s="6">
        <v>26</v>
      </c>
      <c r="B33" s="8" t="s">
        <v>391</v>
      </c>
      <c r="C33" s="10" t="s">
        <v>418</v>
      </c>
      <c r="D33" s="10">
        <v>1</v>
      </c>
      <c r="E33" s="89"/>
    </row>
    <row r="34" spans="1:5">
      <c r="A34" s="6">
        <v>27</v>
      </c>
      <c r="B34" s="15" t="s">
        <v>392</v>
      </c>
      <c r="C34" s="6" t="s">
        <v>14</v>
      </c>
      <c r="D34" s="6">
        <v>1</v>
      </c>
      <c r="E34" s="89"/>
    </row>
    <row r="35" spans="1:5">
      <c r="A35" s="6">
        <v>28</v>
      </c>
      <c r="B35" s="4" t="s">
        <v>44</v>
      </c>
      <c r="C35" s="10" t="s">
        <v>422</v>
      </c>
      <c r="D35" s="6">
        <v>2</v>
      </c>
      <c r="E35" s="89"/>
    </row>
    <row r="36" spans="1:5">
      <c r="A36" s="6">
        <v>29</v>
      </c>
      <c r="B36" s="8" t="s">
        <v>45</v>
      </c>
      <c r="C36" s="10" t="s">
        <v>27</v>
      </c>
      <c r="D36" s="10">
        <v>1</v>
      </c>
      <c r="E36" s="6"/>
    </row>
    <row r="37" spans="1:5">
      <c r="A37" s="6">
        <v>30</v>
      </c>
      <c r="B37" s="4" t="s">
        <v>46</v>
      </c>
      <c r="C37" s="6" t="s">
        <v>436</v>
      </c>
      <c r="D37" s="6">
        <v>1</v>
      </c>
      <c r="E37" s="6"/>
    </row>
    <row r="38" spans="1:5">
      <c r="A38" s="6">
        <v>31</v>
      </c>
      <c r="B38" s="4" t="s">
        <v>47</v>
      </c>
      <c r="C38" s="6" t="s">
        <v>421</v>
      </c>
      <c r="D38" s="6">
        <v>1</v>
      </c>
      <c r="E38" s="6"/>
    </row>
    <row r="39" spans="1:5">
      <c r="A39" s="6">
        <v>32</v>
      </c>
      <c r="B39" s="4" t="s">
        <v>48</v>
      </c>
      <c r="C39" s="10" t="s">
        <v>421</v>
      </c>
      <c r="D39" s="6">
        <v>1</v>
      </c>
      <c r="E39" s="10"/>
    </row>
    <row r="40" spans="1:5">
      <c r="A40" s="6">
        <v>33</v>
      </c>
      <c r="B40" s="4" t="s">
        <v>50</v>
      </c>
      <c r="C40" s="6" t="s">
        <v>421</v>
      </c>
      <c r="D40" s="6">
        <v>1</v>
      </c>
      <c r="E40" s="10"/>
    </row>
    <row r="41" spans="1:5">
      <c r="A41" s="6">
        <v>34</v>
      </c>
      <c r="B41" s="13" t="s">
        <v>427</v>
      </c>
      <c r="C41" s="12" t="s">
        <v>41</v>
      </c>
      <c r="D41" s="12">
        <v>1</v>
      </c>
      <c r="E41" s="6"/>
    </row>
    <row r="42" spans="1:5">
      <c r="A42" s="6">
        <v>35</v>
      </c>
      <c r="B42" s="4" t="s">
        <v>393</v>
      </c>
      <c r="C42" s="6" t="s">
        <v>436</v>
      </c>
      <c r="D42" s="6">
        <v>1</v>
      </c>
      <c r="E42" s="6"/>
    </row>
    <row r="43" spans="1:5">
      <c r="A43" s="6">
        <v>36</v>
      </c>
      <c r="B43" s="4" t="s">
        <v>52</v>
      </c>
      <c r="C43" s="6" t="s">
        <v>428</v>
      </c>
      <c r="D43" s="6">
        <v>1</v>
      </c>
      <c r="E43" s="6"/>
    </row>
    <row r="44" spans="1:5">
      <c r="A44" s="6">
        <v>37</v>
      </c>
      <c r="B44" s="14" t="s">
        <v>54</v>
      </c>
      <c r="C44" s="61" t="s">
        <v>15</v>
      </c>
      <c r="D44" s="91">
        <v>1</v>
      </c>
      <c r="E44" s="10"/>
    </row>
    <row r="45" spans="1:5">
      <c r="A45" s="6">
        <v>38</v>
      </c>
      <c r="B45" s="4" t="s">
        <v>55</v>
      </c>
      <c r="C45" s="6" t="s">
        <v>15</v>
      </c>
      <c r="D45" s="6">
        <v>1</v>
      </c>
      <c r="E45" s="6"/>
    </row>
    <row r="46" spans="1:5">
      <c r="A46" s="6">
        <v>39</v>
      </c>
      <c r="B46" s="14" t="s">
        <v>56</v>
      </c>
      <c r="C46" s="61" t="s">
        <v>429</v>
      </c>
      <c r="D46" s="61">
        <v>1</v>
      </c>
      <c r="E46" s="6"/>
    </row>
    <row r="47" spans="1:5">
      <c r="A47" s="6">
        <v>40</v>
      </c>
      <c r="B47" s="4" t="s">
        <v>57</v>
      </c>
      <c r="C47" s="6" t="s">
        <v>27</v>
      </c>
      <c r="D47" s="6">
        <v>1</v>
      </c>
      <c r="E47" s="6"/>
    </row>
    <row r="48" spans="1:5">
      <c r="A48" s="6">
        <v>41</v>
      </c>
      <c r="B48" s="5" t="s">
        <v>58</v>
      </c>
      <c r="C48" s="6" t="s">
        <v>24</v>
      </c>
      <c r="D48" s="6">
        <v>1</v>
      </c>
      <c r="E48" s="92"/>
    </row>
    <row r="49" spans="1:5">
      <c r="A49" s="6">
        <v>42</v>
      </c>
      <c r="B49" s="4" t="s">
        <v>59</v>
      </c>
      <c r="C49" s="6" t="s">
        <v>24</v>
      </c>
      <c r="D49" s="6">
        <v>1</v>
      </c>
      <c r="E49" s="6"/>
    </row>
    <row r="50" spans="1:5">
      <c r="A50" s="6">
        <v>43</v>
      </c>
      <c r="B50" s="5" t="s">
        <v>394</v>
      </c>
      <c r="C50" s="6" t="s">
        <v>436</v>
      </c>
      <c r="D50" s="6">
        <v>1</v>
      </c>
      <c r="E50" s="10"/>
    </row>
    <row r="51" spans="1:5">
      <c r="A51" s="6">
        <v>44</v>
      </c>
      <c r="B51" s="8" t="s">
        <v>60</v>
      </c>
      <c r="C51" s="10" t="s">
        <v>22</v>
      </c>
      <c r="D51" s="10">
        <v>2</v>
      </c>
      <c r="E51" s="10"/>
    </row>
    <row r="52" spans="1:5">
      <c r="A52" s="6">
        <v>45</v>
      </c>
      <c r="B52" s="8" t="s">
        <v>395</v>
      </c>
      <c r="C52" s="10" t="s">
        <v>27</v>
      </c>
      <c r="D52" s="10">
        <v>1</v>
      </c>
      <c r="E52" s="6"/>
    </row>
    <row r="53" spans="1:5">
      <c r="A53" s="6">
        <v>46</v>
      </c>
      <c r="B53" s="4" t="s">
        <v>61</v>
      </c>
      <c r="C53" s="10" t="s">
        <v>428</v>
      </c>
      <c r="D53" s="6">
        <v>2</v>
      </c>
      <c r="E53" s="6"/>
    </row>
    <row r="54" spans="1:5">
      <c r="A54" s="6">
        <v>47</v>
      </c>
      <c r="B54" s="4" t="s">
        <v>62</v>
      </c>
      <c r="C54" s="6" t="s">
        <v>27</v>
      </c>
      <c r="D54" s="6">
        <v>1</v>
      </c>
      <c r="E54" s="10"/>
    </row>
    <row r="55" spans="1:5">
      <c r="A55" s="6">
        <v>48</v>
      </c>
      <c r="B55" s="14" t="s">
        <v>63</v>
      </c>
      <c r="C55" s="61" t="s">
        <v>424</v>
      </c>
      <c r="D55" s="61">
        <v>1</v>
      </c>
      <c r="E55" s="27"/>
    </row>
    <row r="56" spans="1:5">
      <c r="A56" s="6">
        <v>49</v>
      </c>
      <c r="B56" s="8" t="s">
        <v>64</v>
      </c>
      <c r="C56" s="10" t="s">
        <v>428</v>
      </c>
      <c r="D56" s="10">
        <v>1</v>
      </c>
      <c r="E56" s="27"/>
    </row>
    <row r="57" spans="1:5">
      <c r="A57" s="6">
        <v>50</v>
      </c>
      <c r="B57" s="4" t="s">
        <v>65</v>
      </c>
      <c r="C57" s="6" t="s">
        <v>426</v>
      </c>
      <c r="D57" s="6">
        <v>1</v>
      </c>
      <c r="E57" s="27"/>
    </row>
    <row r="58" spans="1:5">
      <c r="A58" s="6">
        <v>51</v>
      </c>
      <c r="B58" s="4" t="s">
        <v>396</v>
      </c>
      <c r="C58" s="6" t="s">
        <v>428</v>
      </c>
      <c r="D58" s="6">
        <v>1</v>
      </c>
      <c r="E58" s="27"/>
    </row>
    <row r="59" spans="1:5">
      <c r="A59" s="6">
        <v>52</v>
      </c>
      <c r="B59" s="4" t="s">
        <v>67</v>
      </c>
      <c r="C59" s="6" t="s">
        <v>421</v>
      </c>
      <c r="D59" s="6">
        <v>1</v>
      </c>
      <c r="E59" s="27"/>
    </row>
    <row r="60" spans="1:5">
      <c r="A60" s="6">
        <v>53</v>
      </c>
      <c r="B60" s="8" t="s">
        <v>68</v>
      </c>
      <c r="C60" s="10" t="s">
        <v>428</v>
      </c>
      <c r="D60" s="10">
        <v>2</v>
      </c>
      <c r="E60" s="27"/>
    </row>
    <row r="61" spans="1:5">
      <c r="A61" s="6">
        <v>54</v>
      </c>
      <c r="B61" s="4" t="s">
        <v>69</v>
      </c>
      <c r="C61" s="6" t="s">
        <v>27</v>
      </c>
      <c r="D61" s="6">
        <v>1</v>
      </c>
      <c r="E61" s="27"/>
    </row>
    <row r="62" spans="1:5">
      <c r="A62" s="6">
        <v>55</v>
      </c>
      <c r="B62" s="8" t="s">
        <v>457</v>
      </c>
      <c r="C62" s="10" t="s">
        <v>428</v>
      </c>
      <c r="D62" s="10">
        <v>2</v>
      </c>
      <c r="E62" s="27"/>
    </row>
    <row r="63" spans="1:5">
      <c r="A63" s="6">
        <v>56</v>
      </c>
      <c r="B63" s="4" t="s">
        <v>70</v>
      </c>
      <c r="C63" s="6" t="s">
        <v>426</v>
      </c>
      <c r="D63" s="6">
        <v>1</v>
      </c>
      <c r="E63" s="27"/>
    </row>
    <row r="64" spans="1:5">
      <c r="A64" s="6">
        <v>57</v>
      </c>
      <c r="B64" s="93" t="s">
        <v>71</v>
      </c>
      <c r="C64" s="10" t="s">
        <v>428</v>
      </c>
      <c r="D64" s="10">
        <v>2</v>
      </c>
      <c r="E64" s="27"/>
    </row>
    <row r="65" spans="1:5">
      <c r="A65" s="6">
        <v>58</v>
      </c>
      <c r="B65" s="94" t="s">
        <v>397</v>
      </c>
      <c r="C65" s="6" t="s">
        <v>421</v>
      </c>
      <c r="D65" s="95">
        <v>1</v>
      </c>
      <c r="E65" s="27"/>
    </row>
    <row r="66" spans="1:5">
      <c r="A66" s="6">
        <v>59</v>
      </c>
      <c r="B66" s="5" t="s">
        <v>398</v>
      </c>
      <c r="C66" s="6" t="s">
        <v>422</v>
      </c>
      <c r="D66" s="6">
        <v>1</v>
      </c>
      <c r="E66" s="27"/>
    </row>
    <row r="67" spans="1:5">
      <c r="A67" s="6">
        <v>60</v>
      </c>
      <c r="B67" s="8" t="s">
        <v>73</v>
      </c>
      <c r="C67" s="10" t="s">
        <v>426</v>
      </c>
      <c r="D67" s="10">
        <v>2</v>
      </c>
      <c r="E67" s="27"/>
    </row>
    <row r="68" spans="1:5">
      <c r="A68" s="6">
        <v>61</v>
      </c>
      <c r="B68" s="4" t="s">
        <v>399</v>
      </c>
      <c r="C68" s="6" t="s">
        <v>421</v>
      </c>
      <c r="D68" s="6">
        <v>1</v>
      </c>
      <c r="E68" s="27"/>
    </row>
    <row r="69" spans="1:5">
      <c r="A69" s="6">
        <v>62</v>
      </c>
      <c r="B69" s="96" t="s">
        <v>400</v>
      </c>
      <c r="C69" s="6" t="s">
        <v>428</v>
      </c>
      <c r="D69" s="6">
        <v>1</v>
      </c>
      <c r="E69" s="27"/>
    </row>
    <row r="70" spans="1:5">
      <c r="A70" s="6">
        <v>63</v>
      </c>
      <c r="B70" s="4" t="s">
        <v>74</v>
      </c>
      <c r="C70" s="10" t="s">
        <v>428</v>
      </c>
      <c r="D70" s="6">
        <v>1</v>
      </c>
      <c r="E70" s="27"/>
    </row>
    <row r="71" spans="1:5">
      <c r="A71" s="6">
        <v>64</v>
      </c>
      <c r="B71" s="4" t="s">
        <v>401</v>
      </c>
      <c r="C71" s="98" t="s">
        <v>428</v>
      </c>
      <c r="D71" s="98">
        <v>1</v>
      </c>
      <c r="E71" s="27"/>
    </row>
    <row r="72" spans="1:5">
      <c r="A72" s="6">
        <v>65</v>
      </c>
      <c r="B72" s="14" t="s">
        <v>75</v>
      </c>
      <c r="C72" s="61" t="s">
        <v>458</v>
      </c>
      <c r="D72" s="61">
        <v>1</v>
      </c>
      <c r="E72" s="27"/>
    </row>
    <row r="73" spans="1:5">
      <c r="A73" s="6">
        <v>66</v>
      </c>
      <c r="B73" s="4" t="s">
        <v>76</v>
      </c>
      <c r="C73" s="6" t="s">
        <v>422</v>
      </c>
      <c r="D73" s="6">
        <v>1</v>
      </c>
      <c r="E73" s="27"/>
    </row>
    <row r="74" spans="1:5">
      <c r="A74" s="6">
        <v>67</v>
      </c>
      <c r="B74" s="4" t="s">
        <v>77</v>
      </c>
      <c r="C74" s="6" t="s">
        <v>421</v>
      </c>
      <c r="D74" s="6">
        <v>1</v>
      </c>
      <c r="E74" s="27"/>
    </row>
    <row r="75" spans="1:5">
      <c r="A75" s="44">
        <v>68</v>
      </c>
      <c r="B75" s="183" t="s">
        <v>78</v>
      </c>
      <c r="C75" s="44" t="s">
        <v>422</v>
      </c>
      <c r="D75" s="44">
        <v>1</v>
      </c>
      <c r="E75" s="29"/>
    </row>
    <row r="77" spans="1:5">
      <c r="A77" s="266" t="s">
        <v>79</v>
      </c>
      <c r="B77" s="267"/>
      <c r="C77" s="267"/>
      <c r="D77" s="267"/>
      <c r="E77" s="267"/>
    </row>
    <row r="78" spans="1:5" ht="15.75" customHeight="1">
      <c r="A78" s="245" t="s">
        <v>2</v>
      </c>
      <c r="B78" s="245" t="s">
        <v>7</v>
      </c>
      <c r="C78" s="245" t="s">
        <v>8</v>
      </c>
      <c r="D78" s="245" t="s">
        <v>479</v>
      </c>
      <c r="E78" s="242" t="s">
        <v>4</v>
      </c>
    </row>
    <row r="79" spans="1:5">
      <c r="A79" s="246"/>
      <c r="B79" s="246"/>
      <c r="C79" s="246"/>
      <c r="D79" s="246"/>
      <c r="E79" s="243" t="s">
        <v>4</v>
      </c>
    </row>
    <row r="80" spans="1:5">
      <c r="A80" s="102">
        <v>1</v>
      </c>
      <c r="B80" s="103" t="s">
        <v>80</v>
      </c>
      <c r="C80" s="32" t="s">
        <v>421</v>
      </c>
      <c r="D80" s="102">
        <v>1</v>
      </c>
      <c r="E80" s="107"/>
    </row>
    <row r="81" spans="1:5">
      <c r="A81" s="27">
        <v>2</v>
      </c>
      <c r="B81" s="9" t="s">
        <v>81</v>
      </c>
      <c r="C81" s="10" t="s">
        <v>82</v>
      </c>
      <c r="D81" s="10">
        <v>3</v>
      </c>
      <c r="E81" s="10"/>
    </row>
    <row r="82" spans="1:5">
      <c r="A82" s="27">
        <v>3</v>
      </c>
      <c r="B82" s="9" t="s">
        <v>402</v>
      </c>
      <c r="C82" s="10" t="s">
        <v>430</v>
      </c>
      <c r="D82" s="10">
        <v>5</v>
      </c>
      <c r="E82" s="10"/>
    </row>
    <row r="83" spans="1:5">
      <c r="A83" s="27">
        <v>4</v>
      </c>
      <c r="B83" s="9" t="s">
        <v>83</v>
      </c>
      <c r="C83" s="10" t="s">
        <v>82</v>
      </c>
      <c r="D83" s="10">
        <v>2</v>
      </c>
      <c r="E83" s="10"/>
    </row>
    <row r="84" spans="1:5">
      <c r="A84" s="27">
        <v>5</v>
      </c>
      <c r="B84" s="9" t="s">
        <v>85</v>
      </c>
      <c r="C84" s="10" t="s">
        <v>82</v>
      </c>
      <c r="D84" s="10">
        <v>5</v>
      </c>
      <c r="E84" s="6"/>
    </row>
    <row r="85" spans="1:5">
      <c r="A85" s="27">
        <v>6</v>
      </c>
      <c r="B85" s="9" t="s">
        <v>86</v>
      </c>
      <c r="C85" s="10" t="s">
        <v>49</v>
      </c>
      <c r="D85" s="10">
        <v>1</v>
      </c>
      <c r="E85" s="10"/>
    </row>
    <row r="86" spans="1:5">
      <c r="A86" s="27">
        <v>7</v>
      </c>
      <c r="B86" s="9" t="s">
        <v>89</v>
      </c>
      <c r="C86" s="10" t="s">
        <v>49</v>
      </c>
      <c r="D86" s="10">
        <v>1</v>
      </c>
      <c r="E86" s="10"/>
    </row>
    <row r="87" spans="1:5">
      <c r="A87" s="27">
        <v>8</v>
      </c>
      <c r="B87" s="9" t="s">
        <v>90</v>
      </c>
      <c r="C87" s="10" t="s">
        <v>49</v>
      </c>
      <c r="D87" s="10">
        <v>1</v>
      </c>
      <c r="E87" s="17"/>
    </row>
    <row r="88" spans="1:5">
      <c r="A88" s="27">
        <v>9</v>
      </c>
      <c r="B88" s="16" t="s">
        <v>91</v>
      </c>
      <c r="C88" s="17" t="s">
        <v>49</v>
      </c>
      <c r="D88" s="17">
        <v>2</v>
      </c>
      <c r="E88" s="10"/>
    </row>
    <row r="89" spans="1:5">
      <c r="A89" s="27">
        <v>10</v>
      </c>
      <c r="B89" s="9" t="s">
        <v>459</v>
      </c>
      <c r="C89" s="10" t="s">
        <v>82</v>
      </c>
      <c r="D89" s="10">
        <v>2</v>
      </c>
      <c r="E89" s="10"/>
    </row>
    <row r="90" spans="1:5">
      <c r="A90" s="27">
        <v>11</v>
      </c>
      <c r="B90" s="9" t="s">
        <v>93</v>
      </c>
      <c r="C90" s="10" t="s">
        <v>49</v>
      </c>
      <c r="D90" s="10">
        <v>2</v>
      </c>
      <c r="E90" s="17"/>
    </row>
    <row r="91" spans="1:5">
      <c r="A91" s="27">
        <v>12</v>
      </c>
      <c r="B91" s="9" t="s">
        <v>94</v>
      </c>
      <c r="C91" s="10" t="s">
        <v>104</v>
      </c>
      <c r="D91" s="10">
        <v>1</v>
      </c>
      <c r="E91" s="10"/>
    </row>
    <row r="92" spans="1:5">
      <c r="A92" s="27">
        <v>13</v>
      </c>
      <c r="B92" s="19" t="s">
        <v>96</v>
      </c>
      <c r="C92" s="20" t="s">
        <v>49</v>
      </c>
      <c r="D92" s="20">
        <v>2</v>
      </c>
      <c r="E92" s="6"/>
    </row>
    <row r="93" spans="1:5">
      <c r="A93" s="27">
        <v>14</v>
      </c>
      <c r="B93" s="9" t="s">
        <v>95</v>
      </c>
      <c r="C93" s="10" t="s">
        <v>82</v>
      </c>
      <c r="D93" s="10">
        <v>5</v>
      </c>
      <c r="E93" s="10"/>
    </row>
    <row r="94" spans="1:5">
      <c r="A94" s="27">
        <v>15</v>
      </c>
      <c r="B94" s="9" t="s">
        <v>97</v>
      </c>
      <c r="C94" s="10" t="s">
        <v>82</v>
      </c>
      <c r="D94" s="10">
        <v>5</v>
      </c>
      <c r="E94" s="10"/>
    </row>
    <row r="95" spans="1:5">
      <c r="A95" s="27">
        <v>16</v>
      </c>
      <c r="B95" s="9" t="s">
        <v>98</v>
      </c>
      <c r="C95" s="10" t="s">
        <v>82</v>
      </c>
      <c r="D95" s="10">
        <v>2</v>
      </c>
      <c r="E95" s="17"/>
    </row>
    <row r="96" spans="1:5">
      <c r="A96" s="27">
        <v>17</v>
      </c>
      <c r="B96" s="9" t="s">
        <v>99</v>
      </c>
      <c r="C96" s="10" t="s">
        <v>49</v>
      </c>
      <c r="D96" s="10">
        <v>2</v>
      </c>
      <c r="E96" s="10"/>
    </row>
    <row r="97" spans="1:5">
      <c r="A97" s="27">
        <v>18</v>
      </c>
      <c r="B97" s="9" t="s">
        <v>100</v>
      </c>
      <c r="C97" s="22" t="s">
        <v>403</v>
      </c>
      <c r="D97" s="22">
        <v>3</v>
      </c>
      <c r="E97" s="10"/>
    </row>
    <row r="98" spans="1:5">
      <c r="A98" s="27">
        <v>19</v>
      </c>
      <c r="B98" s="19" t="s">
        <v>101</v>
      </c>
      <c r="C98" s="22" t="s">
        <v>403</v>
      </c>
      <c r="D98" s="20">
        <v>3</v>
      </c>
      <c r="E98" s="10"/>
    </row>
    <row r="99" spans="1:5">
      <c r="A99" s="27">
        <v>20</v>
      </c>
      <c r="B99" s="9" t="s">
        <v>102</v>
      </c>
      <c r="C99" s="10" t="s">
        <v>104</v>
      </c>
      <c r="D99" s="10">
        <v>1</v>
      </c>
      <c r="E99" s="10"/>
    </row>
    <row r="100" spans="1:5">
      <c r="A100" s="27">
        <v>21</v>
      </c>
      <c r="B100" s="9" t="s">
        <v>105</v>
      </c>
      <c r="C100" s="10" t="s">
        <v>104</v>
      </c>
      <c r="D100" s="10">
        <v>1</v>
      </c>
      <c r="E100" s="17"/>
    </row>
    <row r="101" spans="1:5" ht="18.75" customHeight="1">
      <c r="A101" s="27">
        <v>22</v>
      </c>
      <c r="B101" s="9" t="s">
        <v>106</v>
      </c>
      <c r="C101" s="10" t="s">
        <v>82</v>
      </c>
      <c r="D101" s="10">
        <v>10</v>
      </c>
      <c r="E101" s="10"/>
    </row>
    <row r="102" spans="1:5" ht="19.5" customHeight="1">
      <c r="A102" s="27">
        <v>23</v>
      </c>
      <c r="B102" s="26" t="s">
        <v>404</v>
      </c>
      <c r="C102" s="10" t="s">
        <v>82</v>
      </c>
      <c r="D102" s="10">
        <v>1</v>
      </c>
      <c r="E102" s="10"/>
    </row>
    <row r="103" spans="1:5">
      <c r="A103" s="27">
        <v>24</v>
      </c>
      <c r="B103" s="9" t="s">
        <v>438</v>
      </c>
      <c r="C103" s="10" t="s">
        <v>82</v>
      </c>
      <c r="D103" s="10">
        <v>5</v>
      </c>
      <c r="E103" s="10"/>
    </row>
    <row r="104" spans="1:5">
      <c r="A104" s="27">
        <v>25</v>
      </c>
      <c r="B104" s="9" t="s">
        <v>108</v>
      </c>
      <c r="C104" s="10" t="s">
        <v>49</v>
      </c>
      <c r="D104" s="10">
        <v>1</v>
      </c>
      <c r="E104" s="10"/>
    </row>
    <row r="105" spans="1:5">
      <c r="A105" s="27">
        <v>26</v>
      </c>
      <c r="B105" s="9" t="s">
        <v>109</v>
      </c>
      <c r="C105" s="10" t="s">
        <v>49</v>
      </c>
      <c r="D105" s="10">
        <v>1</v>
      </c>
      <c r="E105" s="6"/>
    </row>
    <row r="106" spans="1:5">
      <c r="A106" s="27">
        <v>27</v>
      </c>
      <c r="B106" s="9" t="s">
        <v>110</v>
      </c>
      <c r="C106" s="10" t="s">
        <v>49</v>
      </c>
      <c r="D106" s="10">
        <v>2</v>
      </c>
      <c r="E106" s="6"/>
    </row>
    <row r="107" spans="1:5">
      <c r="A107" s="27">
        <v>28</v>
      </c>
      <c r="B107" s="26" t="s">
        <v>405</v>
      </c>
      <c r="C107" s="110" t="s">
        <v>49</v>
      </c>
      <c r="D107" s="110">
        <v>2</v>
      </c>
      <c r="E107" s="6"/>
    </row>
    <row r="108" spans="1:5">
      <c r="A108" s="27">
        <v>29</v>
      </c>
      <c r="B108" s="9" t="s">
        <v>111</v>
      </c>
      <c r="C108" s="10" t="s">
        <v>82</v>
      </c>
      <c r="D108" s="10">
        <v>10</v>
      </c>
      <c r="E108" s="10"/>
    </row>
    <row r="109" spans="1:5">
      <c r="A109" s="27">
        <v>30</v>
      </c>
      <c r="B109" s="9" t="s">
        <v>112</v>
      </c>
      <c r="C109" s="10" t="s">
        <v>82</v>
      </c>
      <c r="D109" s="10">
        <v>15</v>
      </c>
      <c r="E109" s="10"/>
    </row>
    <row r="110" spans="1:5">
      <c r="A110" s="27">
        <v>31</v>
      </c>
      <c r="B110" s="97" t="s">
        <v>406</v>
      </c>
      <c r="C110" s="10" t="s">
        <v>104</v>
      </c>
      <c r="D110" s="111">
        <v>1</v>
      </c>
      <c r="E110" s="10"/>
    </row>
    <row r="111" spans="1:5">
      <c r="A111" s="27">
        <v>32</v>
      </c>
      <c r="B111" s="97" t="s">
        <v>407</v>
      </c>
      <c r="C111" s="10" t="s">
        <v>49</v>
      </c>
      <c r="D111" s="10">
        <v>2</v>
      </c>
      <c r="E111" s="17"/>
    </row>
    <row r="112" spans="1:5">
      <c r="A112" s="27">
        <v>33</v>
      </c>
      <c r="B112" s="97" t="s">
        <v>408</v>
      </c>
      <c r="C112" s="10" t="s">
        <v>49</v>
      </c>
      <c r="D112" s="10">
        <v>1</v>
      </c>
      <c r="E112" s="17"/>
    </row>
    <row r="113" spans="1:5">
      <c r="A113" s="27">
        <v>34</v>
      </c>
      <c r="B113" s="94" t="s">
        <v>409</v>
      </c>
      <c r="C113" s="10" t="s">
        <v>49</v>
      </c>
      <c r="D113" s="10">
        <v>1</v>
      </c>
      <c r="E113" s="17"/>
    </row>
    <row r="114" spans="1:5" ht="22.5" customHeight="1">
      <c r="A114" s="27">
        <v>35</v>
      </c>
      <c r="B114" s="9" t="s">
        <v>113</v>
      </c>
      <c r="C114" s="10" t="s">
        <v>421</v>
      </c>
      <c r="D114" s="10">
        <v>1</v>
      </c>
      <c r="E114" s="10"/>
    </row>
    <row r="115" spans="1:5">
      <c r="A115" s="27">
        <v>36</v>
      </c>
      <c r="B115" s="16" t="s">
        <v>114</v>
      </c>
      <c r="C115" s="17" t="s">
        <v>49</v>
      </c>
      <c r="D115" s="17">
        <v>1</v>
      </c>
      <c r="E115" s="10"/>
    </row>
    <row r="116" spans="1:5">
      <c r="A116" s="27">
        <v>37</v>
      </c>
      <c r="B116" s="16" t="s">
        <v>115</v>
      </c>
      <c r="C116" s="10" t="s">
        <v>430</v>
      </c>
      <c r="D116" s="17">
        <v>2</v>
      </c>
      <c r="E116" s="17"/>
    </row>
    <row r="117" spans="1:5" ht="20.25" customHeight="1">
      <c r="A117" s="27">
        <v>38</v>
      </c>
      <c r="B117" s="19" t="s">
        <v>431</v>
      </c>
      <c r="C117" s="10" t="s">
        <v>82</v>
      </c>
      <c r="D117" s="27">
        <v>1</v>
      </c>
      <c r="E117" s="10"/>
    </row>
    <row r="118" spans="1:5">
      <c r="A118" s="27">
        <v>39</v>
      </c>
      <c r="B118" s="9" t="s">
        <v>120</v>
      </c>
      <c r="C118" s="10" t="s">
        <v>49</v>
      </c>
      <c r="D118" s="10">
        <v>3</v>
      </c>
      <c r="E118" s="17"/>
    </row>
    <row r="119" spans="1:5">
      <c r="A119" s="27">
        <v>40</v>
      </c>
      <c r="B119" s="23" t="s">
        <v>410</v>
      </c>
      <c r="C119" s="25" t="s">
        <v>448</v>
      </c>
      <c r="D119" s="25">
        <v>3</v>
      </c>
      <c r="E119" s="17"/>
    </row>
    <row r="120" spans="1:5" ht="20.25" customHeight="1">
      <c r="A120" s="27">
        <v>41</v>
      </c>
      <c r="B120" s="16" t="s">
        <v>121</v>
      </c>
      <c r="C120" s="17" t="s">
        <v>82</v>
      </c>
      <c r="D120" s="17">
        <v>1</v>
      </c>
      <c r="E120" s="6"/>
    </row>
    <row r="121" spans="1:5">
      <c r="A121" s="27">
        <v>42</v>
      </c>
      <c r="B121" s="16" t="s">
        <v>122</v>
      </c>
      <c r="C121" s="17" t="s">
        <v>49</v>
      </c>
      <c r="D121" s="17">
        <v>3</v>
      </c>
      <c r="E121" s="6"/>
    </row>
    <row r="122" spans="1:5" ht="20.25" customHeight="1">
      <c r="A122" s="27">
        <v>43</v>
      </c>
      <c r="B122" s="9" t="s">
        <v>123</v>
      </c>
      <c r="C122" s="17" t="s">
        <v>82</v>
      </c>
      <c r="D122" s="10">
        <v>3</v>
      </c>
      <c r="E122" s="6"/>
    </row>
    <row r="123" spans="1:5" ht="21" customHeight="1">
      <c r="A123" s="27">
        <v>44</v>
      </c>
      <c r="B123" s="19" t="s">
        <v>124</v>
      </c>
      <c r="C123" s="20" t="s">
        <v>49</v>
      </c>
      <c r="D123" s="20">
        <v>2</v>
      </c>
      <c r="E123" s="6"/>
    </row>
    <row r="124" spans="1:5" ht="17.25" customHeight="1">
      <c r="A124" s="27">
        <v>45</v>
      </c>
      <c r="B124" s="109" t="s">
        <v>126</v>
      </c>
      <c r="C124" s="17" t="s">
        <v>82</v>
      </c>
      <c r="D124" s="110">
        <v>1</v>
      </c>
      <c r="E124" s="6"/>
    </row>
    <row r="125" spans="1:5">
      <c r="A125" s="27">
        <v>46</v>
      </c>
      <c r="B125" s="48" t="s">
        <v>87</v>
      </c>
      <c r="C125" s="31" t="s">
        <v>88</v>
      </c>
      <c r="D125" s="31">
        <v>3</v>
      </c>
      <c r="E125" s="6"/>
    </row>
    <row r="126" spans="1:5">
      <c r="A126" s="27">
        <v>47</v>
      </c>
      <c r="B126" s="48" t="s">
        <v>92</v>
      </c>
      <c r="C126" s="31" t="s">
        <v>88</v>
      </c>
      <c r="D126" s="31">
        <v>3</v>
      </c>
      <c r="E126" s="6"/>
    </row>
    <row r="127" spans="1:5">
      <c r="A127" s="27">
        <v>48</v>
      </c>
      <c r="B127" s="48" t="s">
        <v>411</v>
      </c>
      <c r="C127" s="31" t="s">
        <v>88</v>
      </c>
      <c r="D127" s="31">
        <v>3</v>
      </c>
      <c r="E127" s="6"/>
    </row>
    <row r="128" spans="1:5">
      <c r="A128" s="27">
        <v>49</v>
      </c>
      <c r="B128" s="48" t="s">
        <v>116</v>
      </c>
      <c r="C128" s="31" t="s">
        <v>117</v>
      </c>
      <c r="D128" s="31">
        <v>3</v>
      </c>
      <c r="E128" s="6"/>
    </row>
    <row r="129" spans="1:6">
      <c r="A129" s="27">
        <v>50</v>
      </c>
      <c r="B129" s="112" t="s">
        <v>118</v>
      </c>
      <c r="C129" s="31" t="s">
        <v>88</v>
      </c>
      <c r="D129" s="31">
        <v>3</v>
      </c>
      <c r="E129" s="6"/>
    </row>
    <row r="130" spans="1:6">
      <c r="A130" s="27">
        <v>51</v>
      </c>
      <c r="B130" s="48" t="s">
        <v>119</v>
      </c>
      <c r="C130" s="31" t="s">
        <v>88</v>
      </c>
      <c r="D130" s="31">
        <v>5</v>
      </c>
      <c r="E130" s="6"/>
    </row>
    <row r="131" spans="1:6">
      <c r="A131" s="27">
        <v>52</v>
      </c>
      <c r="B131" s="48" t="s">
        <v>125</v>
      </c>
      <c r="C131" s="31" t="s">
        <v>88</v>
      </c>
      <c r="D131" s="31">
        <v>5</v>
      </c>
      <c r="E131" s="6"/>
    </row>
    <row r="132" spans="1:6">
      <c r="A132" s="270">
        <v>53</v>
      </c>
      <c r="B132" s="113" t="s">
        <v>412</v>
      </c>
      <c r="C132" s="114" t="s">
        <v>88</v>
      </c>
      <c r="D132" s="115">
        <v>1</v>
      </c>
      <c r="E132" s="44"/>
    </row>
    <row r="134" spans="1:6">
      <c r="A134" s="271" t="s">
        <v>127</v>
      </c>
      <c r="B134" s="272"/>
      <c r="C134" s="272"/>
      <c r="D134" s="272"/>
      <c r="E134" s="272"/>
      <c r="F134" s="272"/>
    </row>
    <row r="135" spans="1:6" ht="15.75" customHeight="1">
      <c r="A135" s="245" t="s">
        <v>2</v>
      </c>
      <c r="B135" s="245" t="s">
        <v>7</v>
      </c>
      <c r="C135" s="245" t="s">
        <v>8</v>
      </c>
      <c r="D135" s="245" t="s">
        <v>479</v>
      </c>
      <c r="E135" s="242" t="s">
        <v>4</v>
      </c>
      <c r="F135" s="261"/>
    </row>
    <row r="136" spans="1:6" ht="14.25" customHeight="1">
      <c r="A136" s="251"/>
      <c r="B136" s="251"/>
      <c r="C136" s="251"/>
      <c r="D136" s="251"/>
      <c r="E136" s="250" t="s">
        <v>4</v>
      </c>
      <c r="F136" s="262"/>
    </row>
    <row r="137" spans="1:6">
      <c r="A137" s="65">
        <v>1</v>
      </c>
      <c r="B137" s="66" t="s">
        <v>128</v>
      </c>
      <c r="C137" s="65" t="s">
        <v>421</v>
      </c>
      <c r="D137" s="65">
        <v>1</v>
      </c>
      <c r="E137" s="65"/>
      <c r="F137" s="222"/>
    </row>
    <row r="138" spans="1:6">
      <c r="A138" s="6">
        <v>2</v>
      </c>
      <c r="B138" s="5" t="s">
        <v>129</v>
      </c>
      <c r="C138" s="10" t="s">
        <v>421</v>
      </c>
      <c r="D138" s="6">
        <v>1</v>
      </c>
      <c r="E138" s="6"/>
      <c r="F138" s="223"/>
    </row>
    <row r="139" spans="1:6">
      <c r="A139" s="10">
        <v>3</v>
      </c>
      <c r="B139" s="5" t="s">
        <v>130</v>
      </c>
      <c r="C139" s="6" t="s">
        <v>421</v>
      </c>
      <c r="D139" s="6">
        <v>1</v>
      </c>
      <c r="E139" s="6"/>
      <c r="F139" s="223"/>
    </row>
    <row r="140" spans="1:6">
      <c r="A140" s="6">
        <v>4</v>
      </c>
      <c r="B140" s="5" t="s">
        <v>131</v>
      </c>
      <c r="C140" s="6" t="s">
        <v>421</v>
      </c>
      <c r="D140" s="6">
        <v>1</v>
      </c>
      <c r="E140" s="6"/>
      <c r="F140" s="223"/>
    </row>
    <row r="141" spans="1:6">
      <c r="A141" s="10">
        <v>5</v>
      </c>
      <c r="B141" s="9" t="s">
        <v>132</v>
      </c>
      <c r="C141" s="6" t="s">
        <v>421</v>
      </c>
      <c r="D141" s="10">
        <v>1</v>
      </c>
      <c r="E141" s="6"/>
      <c r="F141" s="223"/>
    </row>
    <row r="142" spans="1:6">
      <c r="A142" s="6">
        <v>6</v>
      </c>
      <c r="B142" s="5" t="s">
        <v>133</v>
      </c>
      <c r="C142" s="6" t="s">
        <v>421</v>
      </c>
      <c r="D142" s="6">
        <v>1</v>
      </c>
      <c r="E142" s="6"/>
      <c r="F142" s="223"/>
    </row>
    <row r="143" spans="1:6">
      <c r="A143" s="10">
        <v>7</v>
      </c>
      <c r="B143" s="5" t="s">
        <v>134</v>
      </c>
      <c r="C143" s="6" t="s">
        <v>421</v>
      </c>
      <c r="D143" s="6">
        <v>1</v>
      </c>
      <c r="E143" s="6"/>
      <c r="F143" s="223"/>
    </row>
    <row r="144" spans="1:6">
      <c r="A144" s="6">
        <v>8</v>
      </c>
      <c r="B144" s="5" t="s">
        <v>135</v>
      </c>
      <c r="C144" s="6" t="s">
        <v>421</v>
      </c>
      <c r="D144" s="6">
        <v>1</v>
      </c>
      <c r="E144" s="6"/>
      <c r="F144" s="223"/>
    </row>
    <row r="145" spans="1:6">
      <c r="A145" s="10">
        <v>9</v>
      </c>
      <c r="B145" s="5" t="s">
        <v>136</v>
      </c>
      <c r="C145" s="6" t="s">
        <v>29</v>
      </c>
      <c r="D145" s="6">
        <v>1</v>
      </c>
      <c r="E145" s="6"/>
      <c r="F145" s="223"/>
    </row>
    <row r="146" spans="1:6">
      <c r="A146" s="6">
        <v>10</v>
      </c>
      <c r="B146" s="5" t="s">
        <v>137</v>
      </c>
      <c r="C146" s="6" t="s">
        <v>421</v>
      </c>
      <c r="D146" s="6">
        <v>1</v>
      </c>
      <c r="E146" s="6"/>
      <c r="F146" s="223"/>
    </row>
    <row r="147" spans="1:6">
      <c r="A147" s="10">
        <v>11</v>
      </c>
      <c r="B147" s="5" t="s">
        <v>138</v>
      </c>
      <c r="C147" s="6" t="s">
        <v>421</v>
      </c>
      <c r="D147" s="6">
        <v>1</v>
      </c>
      <c r="E147" s="6"/>
      <c r="F147" s="223"/>
    </row>
    <row r="148" spans="1:6">
      <c r="A148" s="6">
        <v>12</v>
      </c>
      <c r="B148" s="9" t="s">
        <v>139</v>
      </c>
      <c r="C148" s="10" t="s">
        <v>421</v>
      </c>
      <c r="D148" s="10">
        <v>1</v>
      </c>
      <c r="E148" s="6"/>
      <c r="F148" s="223"/>
    </row>
    <row r="149" spans="1:6">
      <c r="A149" s="10">
        <v>13</v>
      </c>
      <c r="B149" s="5" t="s">
        <v>140</v>
      </c>
      <c r="C149" s="6" t="s">
        <v>421</v>
      </c>
      <c r="D149" s="6">
        <v>1</v>
      </c>
      <c r="E149" s="6"/>
      <c r="F149" s="223"/>
    </row>
    <row r="150" spans="1:6">
      <c r="A150" s="6">
        <v>14</v>
      </c>
      <c r="B150" s="5" t="s">
        <v>95</v>
      </c>
      <c r="C150" s="17" t="s">
        <v>82</v>
      </c>
      <c r="D150" s="6">
        <v>2</v>
      </c>
      <c r="E150" s="10"/>
      <c r="F150" s="222"/>
    </row>
    <row r="151" spans="1:6">
      <c r="A151" s="10">
        <v>15</v>
      </c>
      <c r="B151" s="5" t="s">
        <v>141</v>
      </c>
      <c r="C151" s="6" t="s">
        <v>422</v>
      </c>
      <c r="D151" s="6">
        <v>1</v>
      </c>
      <c r="E151" s="6"/>
      <c r="F151" s="223"/>
    </row>
    <row r="152" spans="1:6">
      <c r="A152" s="6">
        <v>16</v>
      </c>
      <c r="B152" s="5" t="s">
        <v>142</v>
      </c>
      <c r="C152" s="6" t="s">
        <v>421</v>
      </c>
      <c r="D152" s="6">
        <v>1</v>
      </c>
      <c r="E152" s="6"/>
      <c r="F152" s="223"/>
    </row>
    <row r="153" spans="1:6">
      <c r="A153" s="10">
        <v>17</v>
      </c>
      <c r="B153" s="5" t="s">
        <v>143</v>
      </c>
      <c r="C153" s="6" t="s">
        <v>421</v>
      </c>
      <c r="D153" s="6">
        <v>1</v>
      </c>
      <c r="E153" s="6"/>
      <c r="F153" s="223"/>
    </row>
    <row r="154" spans="1:6">
      <c r="A154" s="6">
        <v>18</v>
      </c>
      <c r="B154" s="5" t="s">
        <v>144</v>
      </c>
      <c r="C154" s="6" t="s">
        <v>421</v>
      </c>
      <c r="D154" s="6">
        <v>1</v>
      </c>
      <c r="E154" s="6"/>
      <c r="F154" s="223"/>
    </row>
    <row r="155" spans="1:6">
      <c r="A155" s="10">
        <v>19</v>
      </c>
      <c r="B155" s="5" t="s">
        <v>145</v>
      </c>
      <c r="C155" s="6" t="s">
        <v>421</v>
      </c>
      <c r="D155" s="6">
        <v>1</v>
      </c>
      <c r="E155" s="6"/>
      <c r="F155" s="223"/>
    </row>
    <row r="156" spans="1:6">
      <c r="A156" s="6">
        <v>20</v>
      </c>
      <c r="B156" s="5" t="s">
        <v>146</v>
      </c>
      <c r="C156" s="6" t="s">
        <v>421</v>
      </c>
      <c r="D156" s="6">
        <v>1</v>
      </c>
      <c r="E156" s="6"/>
      <c r="F156" s="223"/>
    </row>
    <row r="157" spans="1:6">
      <c r="A157" s="10">
        <v>21</v>
      </c>
      <c r="B157" s="5" t="s">
        <v>147</v>
      </c>
      <c r="C157" s="6" t="s">
        <v>421</v>
      </c>
      <c r="D157" s="6">
        <v>1</v>
      </c>
      <c r="E157" s="6"/>
      <c r="F157" s="223"/>
    </row>
    <row r="158" spans="1:6">
      <c r="A158" s="6">
        <v>22</v>
      </c>
      <c r="B158" s="5" t="s">
        <v>148</v>
      </c>
      <c r="C158" s="6" t="s">
        <v>421</v>
      </c>
      <c r="D158" s="6">
        <v>1</v>
      </c>
      <c r="E158" s="6"/>
      <c r="F158" s="223"/>
    </row>
    <row r="159" spans="1:6">
      <c r="A159" s="10">
        <v>23</v>
      </c>
      <c r="B159" s="5" t="s">
        <v>149</v>
      </c>
      <c r="C159" s="6" t="s">
        <v>421</v>
      </c>
      <c r="D159" s="6">
        <v>1</v>
      </c>
      <c r="E159" s="6"/>
      <c r="F159" s="223"/>
    </row>
    <row r="160" spans="1:6">
      <c r="A160" s="6">
        <v>24</v>
      </c>
      <c r="B160" s="5" t="s">
        <v>150</v>
      </c>
      <c r="C160" s="6" t="s">
        <v>421</v>
      </c>
      <c r="D160" s="6">
        <v>1</v>
      </c>
      <c r="E160" s="6"/>
      <c r="F160" s="223"/>
    </row>
    <row r="161" spans="1:6">
      <c r="A161" s="10">
        <v>25</v>
      </c>
      <c r="B161" s="5" t="s">
        <v>151</v>
      </c>
      <c r="C161" s="6" t="s">
        <v>421</v>
      </c>
      <c r="D161" s="6">
        <v>2</v>
      </c>
      <c r="E161" s="6"/>
      <c r="F161" s="223"/>
    </row>
    <row r="162" spans="1:6">
      <c r="A162" s="6">
        <v>26</v>
      </c>
      <c r="B162" s="5" t="s">
        <v>152</v>
      </c>
      <c r="C162" s="6" t="s">
        <v>421</v>
      </c>
      <c r="D162" s="6">
        <v>1</v>
      </c>
      <c r="E162" s="6"/>
      <c r="F162" s="223"/>
    </row>
    <row r="163" spans="1:6">
      <c r="A163" s="10">
        <v>27</v>
      </c>
      <c r="B163" s="5" t="s">
        <v>153</v>
      </c>
      <c r="C163" s="6" t="s">
        <v>421</v>
      </c>
      <c r="D163" s="6">
        <v>2</v>
      </c>
      <c r="E163" s="6"/>
      <c r="F163" s="223"/>
    </row>
    <row r="164" spans="1:6">
      <c r="A164" s="6">
        <v>28</v>
      </c>
      <c r="B164" s="5" t="s">
        <v>154</v>
      </c>
      <c r="C164" s="6" t="s">
        <v>421</v>
      </c>
      <c r="D164" s="6">
        <v>2</v>
      </c>
      <c r="E164" s="6"/>
      <c r="F164" s="223"/>
    </row>
    <row r="165" spans="1:6">
      <c r="A165" s="10">
        <v>29</v>
      </c>
      <c r="B165" s="5" t="s">
        <v>155</v>
      </c>
      <c r="C165" s="6" t="s">
        <v>421</v>
      </c>
      <c r="D165" s="6">
        <v>2</v>
      </c>
      <c r="E165" s="6"/>
      <c r="F165" s="223"/>
    </row>
    <row r="166" spans="1:6">
      <c r="A166" s="6">
        <v>30</v>
      </c>
      <c r="B166" s="5" t="s">
        <v>156</v>
      </c>
      <c r="C166" s="6" t="s">
        <v>421</v>
      </c>
      <c r="D166" s="6">
        <v>1</v>
      </c>
      <c r="E166" s="6"/>
      <c r="F166" s="223"/>
    </row>
    <row r="167" spans="1:6">
      <c r="A167" s="10">
        <v>31</v>
      </c>
      <c r="B167" s="5" t="s">
        <v>157</v>
      </c>
      <c r="C167" s="6" t="s">
        <v>421</v>
      </c>
      <c r="D167" s="6">
        <v>1</v>
      </c>
      <c r="E167" s="6"/>
      <c r="F167" s="223"/>
    </row>
    <row r="168" spans="1:6">
      <c r="A168" s="6">
        <v>32</v>
      </c>
      <c r="B168" s="5" t="s">
        <v>158</v>
      </c>
      <c r="C168" s="6" t="s">
        <v>421</v>
      </c>
      <c r="D168" s="6">
        <v>1</v>
      </c>
      <c r="E168" s="6"/>
      <c r="F168" s="223"/>
    </row>
    <row r="169" spans="1:6">
      <c r="A169" s="10">
        <v>33</v>
      </c>
      <c r="B169" s="5" t="s">
        <v>159</v>
      </c>
      <c r="C169" s="6" t="s">
        <v>421</v>
      </c>
      <c r="D169" s="6">
        <v>2</v>
      </c>
      <c r="E169" s="6"/>
      <c r="F169" s="223"/>
    </row>
    <row r="170" spans="1:6">
      <c r="A170" s="6">
        <v>34</v>
      </c>
      <c r="B170" s="5" t="s">
        <v>160</v>
      </c>
      <c r="C170" s="6" t="s">
        <v>421</v>
      </c>
      <c r="D170" s="6">
        <v>2</v>
      </c>
      <c r="E170" s="6"/>
      <c r="F170" s="223"/>
    </row>
    <row r="171" spans="1:6">
      <c r="A171" s="10">
        <v>35</v>
      </c>
      <c r="B171" s="5" t="s">
        <v>161</v>
      </c>
      <c r="C171" s="6" t="s">
        <v>421</v>
      </c>
      <c r="D171" s="6">
        <v>1</v>
      </c>
      <c r="E171" s="6"/>
      <c r="F171" s="223"/>
    </row>
    <row r="172" spans="1:6">
      <c r="A172" s="6">
        <v>36</v>
      </c>
      <c r="B172" s="5" t="s">
        <v>162</v>
      </c>
      <c r="C172" s="6" t="s">
        <v>421</v>
      </c>
      <c r="D172" s="6">
        <v>1</v>
      </c>
      <c r="E172" s="6"/>
      <c r="F172" s="223"/>
    </row>
    <row r="173" spans="1:6" ht="31.5">
      <c r="A173" s="10">
        <v>37</v>
      </c>
      <c r="B173" s="5" t="s">
        <v>163</v>
      </c>
      <c r="C173" s="6" t="s">
        <v>421</v>
      </c>
      <c r="D173" s="6">
        <v>2</v>
      </c>
      <c r="E173" s="6"/>
      <c r="F173" s="223"/>
    </row>
    <row r="174" spans="1:6">
      <c r="A174" s="6">
        <v>38</v>
      </c>
      <c r="B174" s="5" t="s">
        <v>164</v>
      </c>
      <c r="C174" s="6" t="s">
        <v>421</v>
      </c>
      <c r="D174" s="6">
        <v>2</v>
      </c>
      <c r="E174" s="6"/>
      <c r="F174" s="223"/>
    </row>
    <row r="175" spans="1:6">
      <c r="A175" s="10">
        <v>39</v>
      </c>
      <c r="B175" s="5" t="s">
        <v>165</v>
      </c>
      <c r="C175" s="6" t="s">
        <v>421</v>
      </c>
      <c r="D175" s="6">
        <v>2</v>
      </c>
      <c r="E175" s="6"/>
      <c r="F175" s="223"/>
    </row>
    <row r="176" spans="1:6">
      <c r="A176" s="6">
        <v>40</v>
      </c>
      <c r="B176" s="5" t="s">
        <v>166</v>
      </c>
      <c r="C176" s="6" t="s">
        <v>421</v>
      </c>
      <c r="D176" s="6">
        <v>2</v>
      </c>
      <c r="E176" s="6"/>
      <c r="F176" s="223"/>
    </row>
    <row r="177" spans="1:6">
      <c r="A177" s="10">
        <v>41</v>
      </c>
      <c r="B177" s="5" t="s">
        <v>167</v>
      </c>
      <c r="C177" s="6" t="s">
        <v>421</v>
      </c>
      <c r="D177" s="6">
        <v>2</v>
      </c>
      <c r="E177" s="6"/>
      <c r="F177" s="223"/>
    </row>
    <row r="178" spans="1:6">
      <c r="A178" s="6">
        <v>42</v>
      </c>
      <c r="B178" s="5" t="s">
        <v>168</v>
      </c>
      <c r="C178" s="6" t="s">
        <v>421</v>
      </c>
      <c r="D178" s="6">
        <v>2</v>
      </c>
      <c r="E178" s="6"/>
      <c r="F178" s="223"/>
    </row>
    <row r="179" spans="1:6">
      <c r="A179" s="10">
        <v>43</v>
      </c>
      <c r="B179" s="5" t="s">
        <v>169</v>
      </c>
      <c r="C179" s="6" t="s">
        <v>421</v>
      </c>
      <c r="D179" s="6">
        <v>2</v>
      </c>
      <c r="E179" s="6"/>
      <c r="F179" s="223"/>
    </row>
    <row r="180" spans="1:6">
      <c r="A180" s="6">
        <v>44</v>
      </c>
      <c r="B180" s="5" t="s">
        <v>170</v>
      </c>
      <c r="C180" s="6" t="s">
        <v>421</v>
      </c>
      <c r="D180" s="6">
        <v>1</v>
      </c>
      <c r="E180" s="6"/>
      <c r="F180" s="223"/>
    </row>
    <row r="181" spans="1:6">
      <c r="A181" s="10">
        <v>45</v>
      </c>
      <c r="B181" s="9" t="s">
        <v>171</v>
      </c>
      <c r="C181" s="6" t="s">
        <v>421</v>
      </c>
      <c r="D181" s="10">
        <v>2</v>
      </c>
      <c r="E181" s="6"/>
      <c r="F181" s="223"/>
    </row>
    <row r="182" spans="1:6">
      <c r="A182" s="6">
        <v>46</v>
      </c>
      <c r="B182" s="5" t="s">
        <v>172</v>
      </c>
      <c r="C182" s="6" t="s">
        <v>421</v>
      </c>
      <c r="D182" s="6">
        <v>2</v>
      </c>
      <c r="E182" s="6"/>
      <c r="F182" s="223"/>
    </row>
    <row r="183" spans="1:6">
      <c r="A183" s="10">
        <v>47</v>
      </c>
      <c r="B183" s="5" t="s">
        <v>173</v>
      </c>
      <c r="C183" s="6" t="s">
        <v>421</v>
      </c>
      <c r="D183" s="6">
        <v>1</v>
      </c>
      <c r="E183" s="6"/>
      <c r="F183" s="223"/>
    </row>
    <row r="184" spans="1:6">
      <c r="A184" s="6">
        <v>48</v>
      </c>
      <c r="B184" s="5" t="s">
        <v>174</v>
      </c>
      <c r="C184" s="6" t="s">
        <v>421</v>
      </c>
      <c r="D184" s="6">
        <v>2</v>
      </c>
      <c r="E184" s="6"/>
      <c r="F184" s="223"/>
    </row>
    <row r="185" spans="1:6">
      <c r="A185" s="10">
        <v>49</v>
      </c>
      <c r="B185" s="5" t="s">
        <v>175</v>
      </c>
      <c r="C185" s="6" t="s">
        <v>421</v>
      </c>
      <c r="D185" s="6">
        <v>1</v>
      </c>
      <c r="E185" s="6"/>
      <c r="F185" s="223"/>
    </row>
    <row r="186" spans="1:6">
      <c r="A186" s="6">
        <v>50</v>
      </c>
      <c r="B186" s="5" t="s">
        <v>176</v>
      </c>
      <c r="C186" s="6" t="s">
        <v>421</v>
      </c>
      <c r="D186" s="6">
        <v>2</v>
      </c>
      <c r="E186" s="6"/>
      <c r="F186" s="223"/>
    </row>
    <row r="187" spans="1:6">
      <c r="A187" s="10">
        <v>51</v>
      </c>
      <c r="B187" s="5" t="s">
        <v>177</v>
      </c>
      <c r="C187" s="6" t="s">
        <v>421</v>
      </c>
      <c r="D187" s="6">
        <v>2</v>
      </c>
      <c r="E187" s="6"/>
      <c r="F187" s="223"/>
    </row>
    <row r="188" spans="1:6">
      <c r="A188" s="6">
        <v>52</v>
      </c>
      <c r="B188" s="5" t="s">
        <v>178</v>
      </c>
      <c r="C188" s="6" t="s">
        <v>421</v>
      </c>
      <c r="D188" s="6">
        <v>1</v>
      </c>
      <c r="E188" s="6"/>
      <c r="F188" s="223"/>
    </row>
    <row r="189" spans="1:6">
      <c r="A189" s="10">
        <v>53</v>
      </c>
      <c r="B189" s="9" t="s">
        <v>179</v>
      </c>
      <c r="C189" s="6" t="s">
        <v>421</v>
      </c>
      <c r="D189" s="10">
        <v>3</v>
      </c>
      <c r="E189" s="6"/>
      <c r="F189" s="223"/>
    </row>
    <row r="190" spans="1:6">
      <c r="A190" s="6">
        <v>54</v>
      </c>
      <c r="B190" s="9" t="s">
        <v>180</v>
      </c>
      <c r="C190" s="6" t="s">
        <v>421</v>
      </c>
      <c r="D190" s="10">
        <v>2</v>
      </c>
      <c r="E190" s="10"/>
      <c r="F190" s="222"/>
    </row>
    <row r="191" spans="1:6">
      <c r="A191" s="10">
        <v>55</v>
      </c>
      <c r="B191" s="5" t="s">
        <v>181</v>
      </c>
      <c r="C191" s="6" t="s">
        <v>421</v>
      </c>
      <c r="D191" s="6">
        <v>2</v>
      </c>
      <c r="E191" s="6"/>
      <c r="F191" s="223"/>
    </row>
    <row r="192" spans="1:6">
      <c r="A192" s="6">
        <v>56</v>
      </c>
      <c r="B192" s="9" t="s">
        <v>182</v>
      </c>
      <c r="C192" s="6" t="s">
        <v>421</v>
      </c>
      <c r="D192" s="10">
        <v>2</v>
      </c>
      <c r="E192" s="6"/>
      <c r="F192" s="223"/>
    </row>
    <row r="193" spans="1:6">
      <c r="A193" s="10">
        <v>57</v>
      </c>
      <c r="B193" s="5" t="s">
        <v>183</v>
      </c>
      <c r="C193" s="6" t="s">
        <v>421</v>
      </c>
      <c r="D193" s="6">
        <v>2</v>
      </c>
      <c r="E193" s="6"/>
      <c r="F193" s="223"/>
    </row>
    <row r="194" spans="1:6">
      <c r="A194" s="273">
        <v>58</v>
      </c>
      <c r="B194" s="274" t="s">
        <v>184</v>
      </c>
      <c r="C194" s="273" t="s">
        <v>421</v>
      </c>
      <c r="D194" s="273">
        <v>1</v>
      </c>
      <c r="E194" s="273"/>
      <c r="F194" s="223"/>
    </row>
    <row r="196" spans="1:6">
      <c r="A196" s="266" t="s">
        <v>185</v>
      </c>
      <c r="B196" s="267"/>
      <c r="C196" s="267"/>
      <c r="D196" s="267"/>
      <c r="E196" s="267"/>
    </row>
    <row r="197" spans="1:6" ht="31.5" customHeight="1">
      <c r="A197" s="99" t="s">
        <v>2</v>
      </c>
      <c r="B197" s="99" t="s">
        <v>7</v>
      </c>
      <c r="C197" s="118" t="s">
        <v>8</v>
      </c>
      <c r="D197" s="118" t="s">
        <v>481</v>
      </c>
      <c r="E197" s="118" t="s">
        <v>4</v>
      </c>
    </row>
    <row r="198" spans="1:6" ht="24" customHeight="1">
      <c r="A198" s="238" t="s">
        <v>477</v>
      </c>
      <c r="B198" s="238"/>
      <c r="C198" s="99"/>
      <c r="D198" s="99"/>
      <c r="E198" s="99"/>
    </row>
    <row r="199" spans="1:6">
      <c r="A199" s="102">
        <v>1</v>
      </c>
      <c r="B199" s="122" t="s">
        <v>187</v>
      </c>
      <c r="C199" s="102" t="s">
        <v>188</v>
      </c>
      <c r="D199" s="102">
        <v>2</v>
      </c>
      <c r="E199" s="102"/>
    </row>
    <row r="200" spans="1:6">
      <c r="A200" s="27">
        <v>2</v>
      </c>
      <c r="B200" s="26" t="s">
        <v>190</v>
      </c>
      <c r="C200" s="27" t="s">
        <v>51</v>
      </c>
      <c r="D200" s="27">
        <v>2</v>
      </c>
      <c r="E200" s="27"/>
    </row>
    <row r="201" spans="1:6">
      <c r="A201" s="27">
        <v>3</v>
      </c>
      <c r="B201" s="26" t="s">
        <v>191</v>
      </c>
      <c r="C201" s="27" t="s">
        <v>51</v>
      </c>
      <c r="D201" s="27">
        <v>2</v>
      </c>
      <c r="E201" s="27"/>
    </row>
    <row r="202" spans="1:6">
      <c r="A202" s="27">
        <v>4</v>
      </c>
      <c r="B202" s="26" t="s">
        <v>192</v>
      </c>
      <c r="C202" s="27" t="s">
        <v>51</v>
      </c>
      <c r="D202" s="27">
        <v>2</v>
      </c>
      <c r="E202" s="27"/>
    </row>
    <row r="203" spans="1:6">
      <c r="A203" s="27">
        <v>5</v>
      </c>
      <c r="B203" s="26" t="s">
        <v>193</v>
      </c>
      <c r="C203" s="27" t="s">
        <v>51</v>
      </c>
      <c r="D203" s="27">
        <v>2</v>
      </c>
      <c r="E203" s="27"/>
    </row>
    <row r="204" spans="1:6">
      <c r="A204" s="27">
        <v>6</v>
      </c>
      <c r="B204" s="26" t="s">
        <v>194</v>
      </c>
      <c r="C204" s="27" t="s">
        <v>51</v>
      </c>
      <c r="D204" s="27">
        <v>2</v>
      </c>
      <c r="E204" s="27"/>
    </row>
    <row r="205" spans="1:6">
      <c r="A205" s="27">
        <v>7</v>
      </c>
      <c r="B205" s="26" t="s">
        <v>195</v>
      </c>
      <c r="C205" s="27" t="s">
        <v>51</v>
      </c>
      <c r="D205" s="27">
        <v>2</v>
      </c>
      <c r="E205" s="27"/>
    </row>
    <row r="206" spans="1:6">
      <c r="A206" s="27">
        <v>8</v>
      </c>
      <c r="B206" s="26" t="s">
        <v>196</v>
      </c>
      <c r="C206" s="27" t="s">
        <v>51</v>
      </c>
      <c r="D206" s="27">
        <v>2</v>
      </c>
      <c r="E206" s="27"/>
    </row>
    <row r="207" spans="1:6">
      <c r="A207" s="27">
        <v>9</v>
      </c>
      <c r="B207" s="26" t="s">
        <v>197</v>
      </c>
      <c r="C207" s="27" t="s">
        <v>51</v>
      </c>
      <c r="D207" s="27">
        <v>2</v>
      </c>
      <c r="E207" s="27"/>
    </row>
    <row r="208" spans="1:6">
      <c r="A208" s="27">
        <v>10</v>
      </c>
      <c r="B208" s="26" t="s">
        <v>198</v>
      </c>
      <c r="C208" s="27" t="s">
        <v>51</v>
      </c>
      <c r="D208" s="27">
        <v>2</v>
      </c>
      <c r="E208" s="27"/>
    </row>
    <row r="209" spans="1:5">
      <c r="A209" s="27">
        <v>11</v>
      </c>
      <c r="B209" s="26" t="s">
        <v>199</v>
      </c>
      <c r="C209" s="27" t="s">
        <v>51</v>
      </c>
      <c r="D209" s="27">
        <v>2</v>
      </c>
      <c r="E209" s="27"/>
    </row>
    <row r="210" spans="1:5">
      <c r="A210" s="27">
        <v>12</v>
      </c>
      <c r="B210" s="26" t="s">
        <v>200</v>
      </c>
      <c r="C210" s="27" t="s">
        <v>51</v>
      </c>
      <c r="D210" s="27">
        <v>3</v>
      </c>
      <c r="E210" s="27"/>
    </row>
    <row r="211" spans="1:5">
      <c r="A211" s="27">
        <v>13</v>
      </c>
      <c r="B211" s="26" t="s">
        <v>201</v>
      </c>
      <c r="C211" s="27" t="s">
        <v>51</v>
      </c>
      <c r="D211" s="27">
        <v>3</v>
      </c>
      <c r="E211" s="27"/>
    </row>
    <row r="212" spans="1:5">
      <c r="A212" s="27">
        <v>14</v>
      </c>
      <c r="B212" s="26" t="s">
        <v>202</v>
      </c>
      <c r="C212" s="27" t="s">
        <v>51</v>
      </c>
      <c r="D212" s="27">
        <v>2</v>
      </c>
      <c r="E212" s="27"/>
    </row>
    <row r="213" spans="1:5" ht="17.25" customHeight="1">
      <c r="A213" s="27">
        <v>15</v>
      </c>
      <c r="B213" s="26" t="s">
        <v>282</v>
      </c>
      <c r="C213" s="27" t="s">
        <v>51</v>
      </c>
      <c r="D213" s="27">
        <v>2</v>
      </c>
      <c r="E213" s="27"/>
    </row>
    <row r="214" spans="1:5">
      <c r="A214" s="27">
        <v>16</v>
      </c>
      <c r="B214" s="26" t="s">
        <v>203</v>
      </c>
      <c r="C214" s="27" t="s">
        <v>51</v>
      </c>
      <c r="D214" s="27">
        <v>6</v>
      </c>
      <c r="E214" s="27"/>
    </row>
    <row r="215" spans="1:5">
      <c r="A215" s="27">
        <v>17</v>
      </c>
      <c r="B215" s="26" t="s">
        <v>204</v>
      </c>
      <c r="C215" s="27" t="s">
        <v>188</v>
      </c>
      <c r="D215" s="27">
        <v>2</v>
      </c>
      <c r="E215" s="27"/>
    </row>
    <row r="216" spans="1:5">
      <c r="A216" s="27">
        <v>18</v>
      </c>
      <c r="B216" s="26" t="s">
        <v>205</v>
      </c>
      <c r="C216" s="27" t="s">
        <v>51</v>
      </c>
      <c r="D216" s="27">
        <v>2</v>
      </c>
      <c r="E216" s="27"/>
    </row>
    <row r="217" spans="1:5">
      <c r="A217" s="27">
        <v>19</v>
      </c>
      <c r="B217" s="26" t="s">
        <v>206</v>
      </c>
      <c r="C217" s="27" t="s">
        <v>51</v>
      </c>
      <c r="D217" s="27">
        <v>2</v>
      </c>
      <c r="E217" s="27"/>
    </row>
    <row r="218" spans="1:5">
      <c r="A218" s="27">
        <v>20</v>
      </c>
      <c r="B218" s="26" t="s">
        <v>207</v>
      </c>
      <c r="C218" s="27" t="s">
        <v>51</v>
      </c>
      <c r="D218" s="27">
        <v>2</v>
      </c>
      <c r="E218" s="27"/>
    </row>
    <row r="219" spans="1:5">
      <c r="A219" s="27">
        <v>21</v>
      </c>
      <c r="B219" s="26" t="s">
        <v>208</v>
      </c>
      <c r="C219" s="27" t="s">
        <v>51</v>
      </c>
      <c r="D219" s="27">
        <v>2</v>
      </c>
      <c r="E219" s="27"/>
    </row>
    <row r="220" spans="1:5">
      <c r="A220" s="27">
        <v>22</v>
      </c>
      <c r="B220" s="26" t="s">
        <v>209</v>
      </c>
      <c r="C220" s="27" t="s">
        <v>51</v>
      </c>
      <c r="D220" s="27">
        <v>2</v>
      </c>
      <c r="E220" s="27"/>
    </row>
    <row r="221" spans="1:5">
      <c r="A221" s="27">
        <v>23</v>
      </c>
      <c r="B221" s="26" t="s">
        <v>210</v>
      </c>
      <c r="C221" s="27" t="s">
        <v>51</v>
      </c>
      <c r="D221" s="27">
        <v>2</v>
      </c>
      <c r="E221" s="27"/>
    </row>
    <row r="222" spans="1:5">
      <c r="A222" s="27">
        <v>24</v>
      </c>
      <c r="B222" s="26" t="s">
        <v>211</v>
      </c>
      <c r="C222" s="27" t="s">
        <v>51</v>
      </c>
      <c r="D222" s="27">
        <v>2</v>
      </c>
      <c r="E222" s="27"/>
    </row>
    <row r="223" spans="1:5">
      <c r="A223" s="27">
        <v>25</v>
      </c>
      <c r="B223" s="26" t="s">
        <v>212</v>
      </c>
      <c r="C223" s="27" t="s">
        <v>51</v>
      </c>
      <c r="D223" s="27">
        <v>2</v>
      </c>
      <c r="E223" s="27"/>
    </row>
    <row r="224" spans="1:5">
      <c r="A224" s="27">
        <v>26</v>
      </c>
      <c r="B224" s="26" t="s">
        <v>213</v>
      </c>
      <c r="C224" s="27" t="s">
        <v>51</v>
      </c>
      <c r="D224" s="27">
        <v>2</v>
      </c>
      <c r="E224" s="27"/>
    </row>
    <row r="225" spans="1:5">
      <c r="A225" s="27">
        <v>27</v>
      </c>
      <c r="B225" s="26" t="s">
        <v>214</v>
      </c>
      <c r="C225" s="27" t="s">
        <v>51</v>
      </c>
      <c r="D225" s="27">
        <v>2</v>
      </c>
      <c r="E225" s="27"/>
    </row>
    <row r="226" spans="1:5">
      <c r="A226" s="27">
        <v>28</v>
      </c>
      <c r="B226" s="26" t="s">
        <v>215</v>
      </c>
      <c r="C226" s="27" t="s">
        <v>51</v>
      </c>
      <c r="D226" s="27">
        <v>2</v>
      </c>
      <c r="E226" s="27"/>
    </row>
    <row r="227" spans="1:5">
      <c r="A227" s="27">
        <v>29</v>
      </c>
      <c r="B227" s="26" t="s">
        <v>216</v>
      </c>
      <c r="C227" s="27" t="s">
        <v>51</v>
      </c>
      <c r="D227" s="27">
        <v>2</v>
      </c>
      <c r="E227" s="27"/>
    </row>
    <row r="228" spans="1:5">
      <c r="A228" s="27">
        <v>30</v>
      </c>
      <c r="B228" s="26" t="s">
        <v>217</v>
      </c>
      <c r="C228" s="27" t="s">
        <v>51</v>
      </c>
      <c r="D228" s="27">
        <v>2</v>
      </c>
      <c r="E228" s="27"/>
    </row>
    <row r="229" spans="1:5">
      <c r="A229" s="27">
        <v>31</v>
      </c>
      <c r="B229" s="26" t="s">
        <v>218</v>
      </c>
      <c r="C229" s="27" t="s">
        <v>51</v>
      </c>
      <c r="D229" s="27">
        <v>2</v>
      </c>
      <c r="E229" s="27"/>
    </row>
    <row r="230" spans="1:5">
      <c r="A230" s="27">
        <v>32</v>
      </c>
      <c r="B230" s="26" t="s">
        <v>219</v>
      </c>
      <c r="C230" s="27" t="s">
        <v>51</v>
      </c>
      <c r="D230" s="27">
        <v>2</v>
      </c>
      <c r="E230" s="27"/>
    </row>
    <row r="231" spans="1:5">
      <c r="A231" s="27">
        <v>33</v>
      </c>
      <c r="B231" s="26" t="s">
        <v>220</v>
      </c>
      <c r="C231" s="27" t="s">
        <v>51</v>
      </c>
      <c r="D231" s="27">
        <v>2</v>
      </c>
      <c r="E231" s="27"/>
    </row>
    <row r="232" spans="1:5">
      <c r="A232" s="27">
        <v>34</v>
      </c>
      <c r="B232" s="26" t="s">
        <v>221</v>
      </c>
      <c r="C232" s="27" t="s">
        <v>51</v>
      </c>
      <c r="D232" s="27">
        <v>2</v>
      </c>
      <c r="E232" s="27"/>
    </row>
    <row r="233" spans="1:5">
      <c r="A233" s="27">
        <v>35</v>
      </c>
      <c r="B233" s="26" t="s">
        <v>222</v>
      </c>
      <c r="C233" s="27" t="s">
        <v>51</v>
      </c>
      <c r="D233" s="27">
        <v>2</v>
      </c>
      <c r="E233" s="27"/>
    </row>
    <row r="234" spans="1:5">
      <c r="A234" s="27">
        <v>36</v>
      </c>
      <c r="B234" s="26" t="s">
        <v>223</v>
      </c>
      <c r="C234" s="27" t="s">
        <v>51</v>
      </c>
      <c r="D234" s="27">
        <v>2</v>
      </c>
      <c r="E234" s="27"/>
    </row>
    <row r="235" spans="1:5">
      <c r="A235" s="27">
        <v>37</v>
      </c>
      <c r="B235" s="26" t="s">
        <v>224</v>
      </c>
      <c r="C235" s="27" t="s">
        <v>51</v>
      </c>
      <c r="D235" s="27">
        <v>2</v>
      </c>
      <c r="E235" s="27"/>
    </row>
    <row r="236" spans="1:5">
      <c r="A236" s="27">
        <v>38</v>
      </c>
      <c r="B236" s="26" t="s">
        <v>225</v>
      </c>
      <c r="C236" s="27" t="s">
        <v>51</v>
      </c>
      <c r="D236" s="27">
        <v>2</v>
      </c>
      <c r="E236" s="27"/>
    </row>
    <row r="237" spans="1:5">
      <c r="A237" s="27">
        <v>39</v>
      </c>
      <c r="B237" s="40" t="s">
        <v>226</v>
      </c>
      <c r="C237" s="27" t="s">
        <v>51</v>
      </c>
      <c r="D237" s="27">
        <v>2</v>
      </c>
      <c r="E237" s="27"/>
    </row>
    <row r="238" spans="1:5">
      <c r="A238" s="27">
        <v>40</v>
      </c>
      <c r="B238" s="26" t="s">
        <v>227</v>
      </c>
      <c r="C238" s="27" t="s">
        <v>51</v>
      </c>
      <c r="D238" s="27">
        <v>2</v>
      </c>
      <c r="E238" s="27"/>
    </row>
    <row r="239" spans="1:5">
      <c r="A239" s="27">
        <v>41</v>
      </c>
      <c r="B239" s="26" t="s">
        <v>228</v>
      </c>
      <c r="C239" s="27" t="s">
        <v>51</v>
      </c>
      <c r="D239" s="27">
        <v>2</v>
      </c>
      <c r="E239" s="27"/>
    </row>
    <row r="240" spans="1:5">
      <c r="A240" s="27">
        <v>42</v>
      </c>
      <c r="B240" s="26" t="s">
        <v>229</v>
      </c>
      <c r="C240" s="27" t="s">
        <v>51</v>
      </c>
      <c r="D240" s="27">
        <v>2</v>
      </c>
      <c r="E240" s="27"/>
    </row>
    <row r="241" spans="1:5">
      <c r="A241" s="27">
        <v>43</v>
      </c>
      <c r="B241" s="26" t="s">
        <v>230</v>
      </c>
      <c r="C241" s="27" t="s">
        <v>51</v>
      </c>
      <c r="D241" s="27">
        <v>2</v>
      </c>
      <c r="E241" s="27"/>
    </row>
    <row r="242" spans="1:5">
      <c r="A242" s="27">
        <v>44</v>
      </c>
      <c r="B242" s="26" t="s">
        <v>231</v>
      </c>
      <c r="C242" s="27" t="s">
        <v>51</v>
      </c>
      <c r="D242" s="27">
        <v>2</v>
      </c>
      <c r="E242" s="27"/>
    </row>
    <row r="243" spans="1:5">
      <c r="A243" s="27">
        <v>45</v>
      </c>
      <c r="B243" s="26" t="s">
        <v>232</v>
      </c>
      <c r="C243" s="27" t="s">
        <v>51</v>
      </c>
      <c r="D243" s="27">
        <v>2</v>
      </c>
      <c r="E243" s="27"/>
    </row>
    <row r="244" spans="1:5">
      <c r="A244" s="27">
        <v>46</v>
      </c>
      <c r="B244" s="26" t="s">
        <v>233</v>
      </c>
      <c r="C244" s="27" t="s">
        <v>51</v>
      </c>
      <c r="D244" s="27">
        <v>3</v>
      </c>
      <c r="E244" s="27"/>
    </row>
    <row r="245" spans="1:5">
      <c r="A245" s="27">
        <v>47</v>
      </c>
      <c r="B245" s="40" t="s">
        <v>234</v>
      </c>
      <c r="C245" s="27" t="s">
        <v>51</v>
      </c>
      <c r="D245" s="27">
        <v>3</v>
      </c>
      <c r="E245" s="27"/>
    </row>
    <row r="246" spans="1:5">
      <c r="A246" s="27">
        <v>48</v>
      </c>
      <c r="B246" s="26" t="s">
        <v>235</v>
      </c>
      <c r="C246" s="27" t="s">
        <v>51</v>
      </c>
      <c r="D246" s="27">
        <v>2</v>
      </c>
      <c r="E246" s="27"/>
    </row>
    <row r="247" spans="1:5">
      <c r="A247" s="27">
        <v>49</v>
      </c>
      <c r="B247" s="26" t="s">
        <v>236</v>
      </c>
      <c r="C247" s="27" t="s">
        <v>51</v>
      </c>
      <c r="D247" s="27">
        <v>2</v>
      </c>
      <c r="E247" s="27"/>
    </row>
    <row r="248" spans="1:5">
      <c r="A248" s="27">
        <v>50</v>
      </c>
      <c r="B248" s="26" t="s">
        <v>237</v>
      </c>
      <c r="C248" s="27" t="s">
        <v>51</v>
      </c>
      <c r="D248" s="27">
        <v>2</v>
      </c>
      <c r="E248" s="27"/>
    </row>
    <row r="249" spans="1:5">
      <c r="A249" s="27">
        <v>51</v>
      </c>
      <c r="B249" s="26" t="s">
        <v>238</v>
      </c>
      <c r="C249" s="27" t="s">
        <v>51</v>
      </c>
      <c r="D249" s="27">
        <v>2</v>
      </c>
      <c r="E249" s="27"/>
    </row>
    <row r="250" spans="1:5">
      <c r="A250" s="27">
        <v>52</v>
      </c>
      <c r="B250" s="26" t="s">
        <v>239</v>
      </c>
      <c r="C250" s="27" t="s">
        <v>51</v>
      </c>
      <c r="D250" s="27">
        <v>2</v>
      </c>
      <c r="E250" s="27"/>
    </row>
    <row r="251" spans="1:5">
      <c r="A251" s="27">
        <v>53</v>
      </c>
      <c r="B251" s="26" t="s">
        <v>240</v>
      </c>
      <c r="C251" s="27" t="s">
        <v>51</v>
      </c>
      <c r="D251" s="27">
        <v>2</v>
      </c>
      <c r="E251" s="27"/>
    </row>
    <row r="252" spans="1:5">
      <c r="A252" s="27">
        <v>54</v>
      </c>
      <c r="B252" s="26" t="s">
        <v>241</v>
      </c>
      <c r="C252" s="27" t="s">
        <v>51</v>
      </c>
      <c r="D252" s="27">
        <v>2</v>
      </c>
      <c r="E252" s="27"/>
    </row>
    <row r="253" spans="1:5">
      <c r="A253" s="27">
        <v>55</v>
      </c>
      <c r="B253" s="26" t="s">
        <v>242</v>
      </c>
      <c r="C253" s="27" t="s">
        <v>51</v>
      </c>
      <c r="D253" s="27">
        <v>2</v>
      </c>
      <c r="E253" s="27"/>
    </row>
    <row r="254" spans="1:5">
      <c r="A254" s="27">
        <v>56</v>
      </c>
      <c r="B254" s="26" t="s">
        <v>243</v>
      </c>
      <c r="C254" s="27" t="s">
        <v>51</v>
      </c>
      <c r="D254" s="27">
        <v>2</v>
      </c>
      <c r="E254" s="27"/>
    </row>
    <row r="255" spans="1:5">
      <c r="A255" s="27">
        <v>57</v>
      </c>
      <c r="B255" s="26" t="s">
        <v>244</v>
      </c>
      <c r="C255" s="27" t="s">
        <v>51</v>
      </c>
      <c r="D255" s="27">
        <v>2</v>
      </c>
      <c r="E255" s="27"/>
    </row>
    <row r="256" spans="1:5">
      <c r="A256" s="27">
        <v>58</v>
      </c>
      <c r="B256" s="26" t="s">
        <v>245</v>
      </c>
      <c r="C256" s="27" t="s">
        <v>51</v>
      </c>
      <c r="D256" s="27">
        <v>2</v>
      </c>
      <c r="E256" s="27"/>
    </row>
    <row r="257" spans="1:5">
      <c r="A257" s="27">
        <v>59</v>
      </c>
      <c r="B257" s="26" t="s">
        <v>246</v>
      </c>
      <c r="C257" s="27" t="s">
        <v>51</v>
      </c>
      <c r="D257" s="27">
        <v>2</v>
      </c>
      <c r="E257" s="27"/>
    </row>
    <row r="258" spans="1:5">
      <c r="A258" s="27">
        <v>60</v>
      </c>
      <c r="B258" s="26" t="s">
        <v>247</v>
      </c>
      <c r="C258" s="27" t="s">
        <v>51</v>
      </c>
      <c r="D258" s="27">
        <v>2</v>
      </c>
      <c r="E258" s="27"/>
    </row>
    <row r="259" spans="1:5">
      <c r="A259" s="27">
        <v>61</v>
      </c>
      <c r="B259" s="26" t="s">
        <v>248</v>
      </c>
      <c r="C259" s="27" t="s">
        <v>51</v>
      </c>
      <c r="D259" s="27">
        <v>3</v>
      </c>
      <c r="E259" s="27"/>
    </row>
    <row r="260" spans="1:5">
      <c r="A260" s="27">
        <v>62</v>
      </c>
      <c r="B260" s="40" t="s">
        <v>249</v>
      </c>
      <c r="C260" s="27" t="s">
        <v>51</v>
      </c>
      <c r="D260" s="27">
        <v>2</v>
      </c>
      <c r="E260" s="27"/>
    </row>
    <row r="261" spans="1:5">
      <c r="A261" s="27">
        <v>63</v>
      </c>
      <c r="B261" s="26" t="s">
        <v>250</v>
      </c>
      <c r="C261" s="27" t="s">
        <v>51</v>
      </c>
      <c r="D261" s="27">
        <v>2</v>
      </c>
      <c r="E261" s="27"/>
    </row>
    <row r="262" spans="1:5">
      <c r="A262" s="27">
        <v>64</v>
      </c>
      <c r="B262" s="26" t="s">
        <v>251</v>
      </c>
      <c r="C262" s="27" t="s">
        <v>51</v>
      </c>
      <c r="D262" s="27">
        <v>2</v>
      </c>
      <c r="E262" s="27"/>
    </row>
    <row r="263" spans="1:5">
      <c r="A263" s="27">
        <v>65</v>
      </c>
      <c r="B263" s="26" t="s">
        <v>251</v>
      </c>
      <c r="C263" s="27" t="s">
        <v>51</v>
      </c>
      <c r="D263" s="27">
        <v>2</v>
      </c>
      <c r="E263" s="27"/>
    </row>
    <row r="264" spans="1:5">
      <c r="A264" s="27">
        <v>66</v>
      </c>
      <c r="B264" s="26" t="s">
        <v>252</v>
      </c>
      <c r="C264" s="27" t="s">
        <v>51</v>
      </c>
      <c r="D264" s="27">
        <v>2</v>
      </c>
      <c r="E264" s="27"/>
    </row>
    <row r="265" spans="1:5">
      <c r="A265" s="27">
        <v>67</v>
      </c>
      <c r="B265" s="26" t="s">
        <v>253</v>
      </c>
      <c r="C265" s="27" t="s">
        <v>51</v>
      </c>
      <c r="D265" s="27">
        <v>2</v>
      </c>
      <c r="E265" s="27"/>
    </row>
    <row r="266" spans="1:5">
      <c r="A266" s="27">
        <v>68</v>
      </c>
      <c r="B266" s="26" t="s">
        <v>254</v>
      </c>
      <c r="C266" s="27" t="s">
        <v>51</v>
      </c>
      <c r="D266" s="27">
        <v>2</v>
      </c>
      <c r="E266" s="27"/>
    </row>
    <row r="267" spans="1:5">
      <c r="A267" s="27">
        <v>69</v>
      </c>
      <c r="B267" s="26" t="s">
        <v>255</v>
      </c>
      <c r="C267" s="27" t="s">
        <v>51</v>
      </c>
      <c r="D267" s="27">
        <v>2</v>
      </c>
      <c r="E267" s="27"/>
    </row>
    <row r="268" spans="1:5">
      <c r="A268" s="27">
        <v>70</v>
      </c>
      <c r="B268" s="26" t="s">
        <v>256</v>
      </c>
      <c r="C268" s="27" t="s">
        <v>51</v>
      </c>
      <c r="D268" s="27">
        <v>2</v>
      </c>
      <c r="E268" s="27"/>
    </row>
    <row r="269" spans="1:5">
      <c r="A269" s="27">
        <v>71</v>
      </c>
      <c r="B269" s="26" t="s">
        <v>257</v>
      </c>
      <c r="C269" s="27" t="s">
        <v>51</v>
      </c>
      <c r="D269" s="27">
        <v>2</v>
      </c>
      <c r="E269" s="27"/>
    </row>
    <row r="270" spans="1:5">
      <c r="A270" s="27">
        <v>72</v>
      </c>
      <c r="B270" s="26" t="s">
        <v>258</v>
      </c>
      <c r="C270" s="27" t="s">
        <v>51</v>
      </c>
      <c r="D270" s="27">
        <v>2</v>
      </c>
      <c r="E270" s="27"/>
    </row>
    <row r="271" spans="1:5">
      <c r="A271" s="27">
        <v>73</v>
      </c>
      <c r="B271" s="26" t="s">
        <v>259</v>
      </c>
      <c r="C271" s="27" t="s">
        <v>51</v>
      </c>
      <c r="D271" s="27">
        <v>2</v>
      </c>
      <c r="E271" s="27"/>
    </row>
    <row r="272" spans="1:5">
      <c r="A272" s="27">
        <v>74</v>
      </c>
      <c r="B272" s="26" t="s">
        <v>260</v>
      </c>
      <c r="C272" s="27" t="s">
        <v>51</v>
      </c>
      <c r="D272" s="27">
        <v>2</v>
      </c>
      <c r="E272" s="27"/>
    </row>
    <row r="273" spans="1:5">
      <c r="A273" s="27">
        <v>75</v>
      </c>
      <c r="B273" s="26" t="s">
        <v>261</v>
      </c>
      <c r="C273" s="27" t="s">
        <v>51</v>
      </c>
      <c r="D273" s="27">
        <v>2</v>
      </c>
      <c r="E273" s="27"/>
    </row>
    <row r="274" spans="1:5">
      <c r="A274" s="27">
        <v>76</v>
      </c>
      <c r="B274" s="26" t="s">
        <v>262</v>
      </c>
      <c r="C274" s="27" t="s">
        <v>51</v>
      </c>
      <c r="D274" s="27">
        <v>2</v>
      </c>
      <c r="E274" s="27"/>
    </row>
    <row r="275" spans="1:5">
      <c r="A275" s="27">
        <v>77</v>
      </c>
      <c r="B275" s="26" t="s">
        <v>263</v>
      </c>
      <c r="C275" s="27" t="s">
        <v>51</v>
      </c>
      <c r="D275" s="27">
        <v>5</v>
      </c>
      <c r="E275" s="27"/>
    </row>
    <row r="276" spans="1:5">
      <c r="A276" s="27">
        <v>78</v>
      </c>
      <c r="B276" s="26" t="s">
        <v>264</v>
      </c>
      <c r="C276" s="27" t="s">
        <v>51</v>
      </c>
      <c r="D276" s="27">
        <v>2</v>
      </c>
      <c r="E276" s="27"/>
    </row>
    <row r="277" spans="1:5">
      <c r="A277" s="27">
        <v>79</v>
      </c>
      <c r="B277" s="26" t="s">
        <v>265</v>
      </c>
      <c r="C277" s="27" t="s">
        <v>51</v>
      </c>
      <c r="D277" s="27">
        <v>2</v>
      </c>
      <c r="E277" s="27"/>
    </row>
    <row r="278" spans="1:5">
      <c r="A278" s="27">
        <v>80</v>
      </c>
      <c r="B278" s="26" t="s">
        <v>266</v>
      </c>
      <c r="C278" s="27" t="s">
        <v>51</v>
      </c>
      <c r="D278" s="27">
        <v>2</v>
      </c>
      <c r="E278" s="27"/>
    </row>
    <row r="279" spans="1:5">
      <c r="A279" s="27">
        <v>81</v>
      </c>
      <c r="B279" s="26" t="s">
        <v>267</v>
      </c>
      <c r="C279" s="27" t="s">
        <v>51</v>
      </c>
      <c r="D279" s="27">
        <v>2</v>
      </c>
      <c r="E279" s="27"/>
    </row>
    <row r="280" spans="1:5">
      <c r="A280" s="27">
        <v>82</v>
      </c>
      <c r="B280" s="26" t="s">
        <v>268</v>
      </c>
      <c r="C280" s="27" t="s">
        <v>51</v>
      </c>
      <c r="D280" s="27">
        <v>2</v>
      </c>
      <c r="E280" s="27"/>
    </row>
    <row r="281" spans="1:5">
      <c r="A281" s="27">
        <v>83</v>
      </c>
      <c r="B281" s="26" t="s">
        <v>269</v>
      </c>
      <c r="C281" s="27" t="s">
        <v>51</v>
      </c>
      <c r="D281" s="27">
        <v>2</v>
      </c>
      <c r="E281" s="27"/>
    </row>
    <row r="282" spans="1:5">
      <c r="A282" s="27">
        <v>84</v>
      </c>
      <c r="B282" s="26" t="s">
        <v>270</v>
      </c>
      <c r="C282" s="27" t="s">
        <v>51</v>
      </c>
      <c r="D282" s="27">
        <v>2</v>
      </c>
      <c r="E282" s="27"/>
    </row>
    <row r="283" spans="1:5">
      <c r="A283" s="27">
        <v>85</v>
      </c>
      <c r="B283" s="26" t="s">
        <v>271</v>
      </c>
      <c r="C283" s="27" t="s">
        <v>51</v>
      </c>
      <c r="D283" s="27">
        <v>2</v>
      </c>
      <c r="E283" s="27"/>
    </row>
    <row r="284" spans="1:5">
      <c r="A284" s="27">
        <v>86</v>
      </c>
      <c r="B284" s="26" t="s">
        <v>272</v>
      </c>
      <c r="C284" s="27" t="s">
        <v>51</v>
      </c>
      <c r="D284" s="27">
        <v>2</v>
      </c>
      <c r="E284" s="27"/>
    </row>
    <row r="285" spans="1:5">
      <c r="A285" s="27">
        <v>87</v>
      </c>
      <c r="B285" s="26" t="s">
        <v>273</v>
      </c>
      <c r="C285" s="27" t="s">
        <v>51</v>
      </c>
      <c r="D285" s="27">
        <v>2</v>
      </c>
      <c r="E285" s="27"/>
    </row>
    <row r="286" spans="1:5">
      <c r="A286" s="27">
        <v>88</v>
      </c>
      <c r="B286" s="26" t="s">
        <v>274</v>
      </c>
      <c r="C286" s="27" t="s">
        <v>51</v>
      </c>
      <c r="D286" s="27">
        <v>2</v>
      </c>
      <c r="E286" s="27"/>
    </row>
    <row r="287" spans="1:5">
      <c r="A287" s="27">
        <v>89</v>
      </c>
      <c r="B287" s="26" t="s">
        <v>275</v>
      </c>
      <c r="C287" s="27" t="s">
        <v>51</v>
      </c>
      <c r="D287" s="27">
        <v>2</v>
      </c>
      <c r="E287" s="27"/>
    </row>
    <row r="288" spans="1:5">
      <c r="A288" s="27">
        <v>90</v>
      </c>
      <c r="B288" s="26" t="s">
        <v>276</v>
      </c>
      <c r="C288" s="27" t="s">
        <v>51</v>
      </c>
      <c r="D288" s="27">
        <v>2</v>
      </c>
      <c r="E288" s="27"/>
    </row>
    <row r="289" spans="1:5">
      <c r="A289" s="27">
        <v>91</v>
      </c>
      <c r="B289" s="26" t="s">
        <v>277</v>
      </c>
      <c r="C289" s="27" t="s">
        <v>51</v>
      </c>
      <c r="D289" s="27">
        <v>2</v>
      </c>
      <c r="E289" s="27"/>
    </row>
    <row r="290" spans="1:5">
      <c r="A290" s="27">
        <v>92</v>
      </c>
      <c r="B290" s="26" t="s">
        <v>278</v>
      </c>
      <c r="C290" s="27" t="s">
        <v>51</v>
      </c>
      <c r="D290" s="27">
        <v>2</v>
      </c>
      <c r="E290" s="27"/>
    </row>
    <row r="291" spans="1:5">
      <c r="A291" s="27">
        <v>93</v>
      </c>
      <c r="B291" s="26" t="s">
        <v>279</v>
      </c>
      <c r="C291" s="27" t="s">
        <v>51</v>
      </c>
      <c r="D291" s="27">
        <v>2</v>
      </c>
      <c r="E291" s="27"/>
    </row>
    <row r="292" spans="1:5">
      <c r="A292" s="27">
        <v>94</v>
      </c>
      <c r="B292" s="26" t="s">
        <v>280</v>
      </c>
      <c r="C292" s="27" t="s">
        <v>51</v>
      </c>
      <c r="D292" s="27">
        <v>2</v>
      </c>
      <c r="E292" s="27"/>
    </row>
    <row r="293" spans="1:5">
      <c r="A293" s="27">
        <v>95</v>
      </c>
      <c r="B293" s="26" t="s">
        <v>282</v>
      </c>
      <c r="C293" s="27" t="s">
        <v>51</v>
      </c>
      <c r="D293" s="27">
        <v>2</v>
      </c>
      <c r="E293" s="27"/>
    </row>
    <row r="294" spans="1:5">
      <c r="A294" s="27">
        <v>96</v>
      </c>
      <c r="B294" s="26" t="s">
        <v>283</v>
      </c>
      <c r="C294" s="27" t="s">
        <v>51</v>
      </c>
      <c r="D294" s="27">
        <v>2</v>
      </c>
      <c r="E294" s="27"/>
    </row>
    <row r="295" spans="1:5">
      <c r="A295" s="27">
        <v>97</v>
      </c>
      <c r="B295" s="26" t="s">
        <v>284</v>
      </c>
      <c r="C295" s="27" t="s">
        <v>51</v>
      </c>
      <c r="D295" s="27">
        <v>2</v>
      </c>
      <c r="E295" s="27"/>
    </row>
    <row r="296" spans="1:5">
      <c r="A296" s="29">
        <v>98</v>
      </c>
      <c r="B296" s="28" t="s">
        <v>285</v>
      </c>
      <c r="C296" s="29" t="s">
        <v>51</v>
      </c>
      <c r="D296" s="29">
        <v>2</v>
      </c>
      <c r="E296" s="29"/>
    </row>
    <row r="297" spans="1:5" ht="21.75" customHeight="1">
      <c r="A297" s="238" t="s">
        <v>478</v>
      </c>
      <c r="B297" s="238"/>
      <c r="C297" s="99"/>
      <c r="D297" s="99"/>
      <c r="E297" s="1"/>
    </row>
    <row r="298" spans="1:5">
      <c r="A298" s="212">
        <v>1</v>
      </c>
      <c r="B298" s="218" t="s">
        <v>287</v>
      </c>
      <c r="C298" s="214" t="s">
        <v>469</v>
      </c>
      <c r="D298" s="214">
        <v>1</v>
      </c>
      <c r="E298" s="27"/>
    </row>
    <row r="299" spans="1:5">
      <c r="A299" s="212">
        <v>2</v>
      </c>
      <c r="B299" s="127" t="s">
        <v>289</v>
      </c>
      <c r="C299" s="214" t="s">
        <v>469</v>
      </c>
      <c r="D299" s="214">
        <v>2</v>
      </c>
      <c r="E299" s="27"/>
    </row>
    <row r="300" spans="1:5">
      <c r="A300" s="212">
        <v>3</v>
      </c>
      <c r="B300" s="219" t="s">
        <v>290</v>
      </c>
      <c r="C300" s="214" t="s">
        <v>469</v>
      </c>
      <c r="D300" s="214">
        <v>2</v>
      </c>
      <c r="E300" s="27"/>
    </row>
    <row r="301" spans="1:5">
      <c r="A301" s="212">
        <v>4</v>
      </c>
      <c r="B301" s="213" t="s">
        <v>291</v>
      </c>
      <c r="C301" s="214" t="s">
        <v>469</v>
      </c>
      <c r="D301" s="214">
        <v>1</v>
      </c>
      <c r="E301" s="27"/>
    </row>
    <row r="302" spans="1:5">
      <c r="A302" s="212">
        <v>5</v>
      </c>
      <c r="B302" s="26" t="s">
        <v>292</v>
      </c>
      <c r="C302" s="214" t="s">
        <v>469</v>
      </c>
      <c r="D302" s="214">
        <v>1</v>
      </c>
      <c r="E302" s="27"/>
    </row>
    <row r="303" spans="1:5">
      <c r="A303" s="212">
        <v>6</v>
      </c>
      <c r="B303" s="48" t="s">
        <v>293</v>
      </c>
      <c r="C303" s="214" t="s">
        <v>469</v>
      </c>
      <c r="D303" s="214">
        <v>1</v>
      </c>
      <c r="E303" s="27"/>
    </row>
    <row r="304" spans="1:5">
      <c r="A304" s="212">
        <v>7</v>
      </c>
      <c r="B304" s="48" t="s">
        <v>294</v>
      </c>
      <c r="C304" s="214" t="s">
        <v>469</v>
      </c>
      <c r="D304" s="214">
        <v>1</v>
      </c>
      <c r="E304" s="27"/>
    </row>
    <row r="305" spans="1:5">
      <c r="A305" s="212">
        <v>8</v>
      </c>
      <c r="B305" s="48" t="s">
        <v>295</v>
      </c>
      <c r="C305" s="214" t="s">
        <v>469</v>
      </c>
      <c r="D305" s="214">
        <v>1</v>
      </c>
      <c r="E305" s="27"/>
    </row>
    <row r="306" spans="1:5">
      <c r="A306" s="212">
        <v>9</v>
      </c>
      <c r="B306" s="48" t="s">
        <v>296</v>
      </c>
      <c r="C306" s="214" t="s">
        <v>469</v>
      </c>
      <c r="D306" s="214">
        <v>1</v>
      </c>
      <c r="E306" s="27"/>
    </row>
    <row r="307" spans="1:5">
      <c r="A307" s="212">
        <v>10</v>
      </c>
      <c r="B307" s="48" t="s">
        <v>297</v>
      </c>
      <c r="C307" s="214" t="s">
        <v>469</v>
      </c>
      <c r="D307" s="214">
        <v>1</v>
      </c>
      <c r="E307" s="27"/>
    </row>
    <row r="308" spans="1:5">
      <c r="A308" s="212">
        <v>11</v>
      </c>
      <c r="B308" s="48" t="s">
        <v>298</v>
      </c>
      <c r="C308" s="214" t="s">
        <v>469</v>
      </c>
      <c r="D308" s="214">
        <v>1</v>
      </c>
      <c r="E308" s="27"/>
    </row>
    <row r="309" spans="1:5">
      <c r="A309" s="212">
        <v>12</v>
      </c>
      <c r="B309" s="220" t="s">
        <v>470</v>
      </c>
      <c r="C309" s="214" t="s">
        <v>469</v>
      </c>
      <c r="D309" s="214">
        <v>1</v>
      </c>
      <c r="E309" s="27"/>
    </row>
    <row r="310" spans="1:5">
      <c r="A310" s="212">
        <v>13</v>
      </c>
      <c r="B310" s="26" t="s">
        <v>299</v>
      </c>
      <c r="C310" s="214" t="s">
        <v>469</v>
      </c>
      <c r="D310" s="214">
        <v>1</v>
      </c>
      <c r="E310" s="27"/>
    </row>
    <row r="311" spans="1:5">
      <c r="A311" s="212">
        <v>14</v>
      </c>
      <c r="B311" s="26" t="s">
        <v>300</v>
      </c>
      <c r="C311" s="214" t="s">
        <v>469</v>
      </c>
      <c r="D311" s="214">
        <v>1</v>
      </c>
      <c r="E311" s="27"/>
    </row>
    <row r="312" spans="1:5">
      <c r="A312" s="212">
        <v>15</v>
      </c>
      <c r="B312" s="48" t="s">
        <v>301</v>
      </c>
      <c r="C312" s="214" t="s">
        <v>469</v>
      </c>
      <c r="D312" s="214">
        <v>2</v>
      </c>
      <c r="E312" s="27"/>
    </row>
    <row r="313" spans="1:5">
      <c r="A313" s="212">
        <v>16</v>
      </c>
      <c r="B313" s="48" t="s">
        <v>302</v>
      </c>
      <c r="C313" s="214" t="s">
        <v>469</v>
      </c>
      <c r="D313" s="214">
        <v>1</v>
      </c>
      <c r="E313" s="27"/>
    </row>
    <row r="314" spans="1:5">
      <c r="A314" s="212">
        <v>17</v>
      </c>
      <c r="B314" s="213" t="s">
        <v>303</v>
      </c>
      <c r="C314" s="214" t="s">
        <v>469</v>
      </c>
      <c r="D314" s="214">
        <v>1</v>
      </c>
      <c r="E314" s="27"/>
    </row>
    <row r="315" spans="1:5">
      <c r="A315" s="212">
        <v>18</v>
      </c>
      <c r="B315" s="48" t="s">
        <v>304</v>
      </c>
      <c r="C315" s="214" t="s">
        <v>469</v>
      </c>
      <c r="D315" s="214">
        <v>1</v>
      </c>
      <c r="E315" s="27"/>
    </row>
    <row r="316" spans="1:5">
      <c r="A316" s="212">
        <v>19</v>
      </c>
      <c r="B316" s="48" t="s">
        <v>305</v>
      </c>
      <c r="C316" s="214" t="s">
        <v>469</v>
      </c>
      <c r="D316" s="214">
        <v>1</v>
      </c>
      <c r="E316" s="27"/>
    </row>
    <row r="317" spans="1:5">
      <c r="A317" s="212">
        <v>20</v>
      </c>
      <c r="B317" s="48" t="s">
        <v>471</v>
      </c>
      <c r="C317" s="214" t="s">
        <v>469</v>
      </c>
      <c r="D317" s="214">
        <v>1</v>
      </c>
      <c r="E317" s="27"/>
    </row>
    <row r="318" spans="1:5">
      <c r="A318" s="212">
        <v>21</v>
      </c>
      <c r="B318" s="48" t="s">
        <v>306</v>
      </c>
      <c r="C318" s="214" t="s">
        <v>469</v>
      </c>
      <c r="D318" s="214">
        <v>1</v>
      </c>
      <c r="E318" s="27"/>
    </row>
    <row r="319" spans="1:5">
      <c r="A319" s="212">
        <v>22</v>
      </c>
      <c r="B319" s="48" t="s">
        <v>307</v>
      </c>
      <c r="C319" s="214" t="s">
        <v>469</v>
      </c>
      <c r="D319" s="214">
        <v>1</v>
      </c>
      <c r="E319" s="27"/>
    </row>
    <row r="320" spans="1:5">
      <c r="A320" s="212">
        <v>23</v>
      </c>
      <c r="B320" s="48" t="s">
        <v>308</v>
      </c>
      <c r="C320" s="214" t="s">
        <v>469</v>
      </c>
      <c r="D320" s="214">
        <v>1</v>
      </c>
      <c r="E320" s="27"/>
    </row>
    <row r="321" spans="1:5">
      <c r="A321" s="212">
        <v>24</v>
      </c>
      <c r="B321" s="48" t="s">
        <v>309</v>
      </c>
      <c r="C321" s="214" t="s">
        <v>469</v>
      </c>
      <c r="D321" s="214">
        <v>2</v>
      </c>
      <c r="E321" s="27"/>
    </row>
    <row r="322" spans="1:5">
      <c r="A322" s="212">
        <v>25</v>
      </c>
      <c r="B322" s="48" t="s">
        <v>310</v>
      </c>
      <c r="C322" s="214" t="s">
        <v>469</v>
      </c>
      <c r="D322" s="214">
        <v>1</v>
      </c>
      <c r="E322" s="27"/>
    </row>
    <row r="323" spans="1:5">
      <c r="A323" s="212">
        <v>26</v>
      </c>
      <c r="B323" s="127" t="s">
        <v>311</v>
      </c>
      <c r="C323" s="214" t="s">
        <v>469</v>
      </c>
      <c r="D323" s="214">
        <v>2</v>
      </c>
      <c r="E323" s="27"/>
    </row>
    <row r="324" spans="1:5">
      <c r="A324" s="212">
        <v>27</v>
      </c>
      <c r="B324" s="127" t="s">
        <v>312</v>
      </c>
      <c r="C324" s="214" t="s">
        <v>469</v>
      </c>
      <c r="D324" s="214">
        <v>2</v>
      </c>
      <c r="E324" s="27"/>
    </row>
    <row r="325" spans="1:5">
      <c r="A325" s="212">
        <v>28</v>
      </c>
      <c r="B325" s="48" t="s">
        <v>313</v>
      </c>
      <c r="C325" s="214" t="s">
        <v>469</v>
      </c>
      <c r="D325" s="214">
        <v>1</v>
      </c>
      <c r="E325" s="27"/>
    </row>
    <row r="326" spans="1:5">
      <c r="A326" s="212">
        <v>29</v>
      </c>
      <c r="B326" s="90" t="s">
        <v>314</v>
      </c>
      <c r="C326" s="214" t="s">
        <v>469</v>
      </c>
      <c r="D326" s="214">
        <v>2</v>
      </c>
      <c r="E326" s="27"/>
    </row>
    <row r="327" spans="1:5">
      <c r="A327" s="212">
        <v>30</v>
      </c>
      <c r="B327" s="90" t="s">
        <v>317</v>
      </c>
      <c r="C327" s="214" t="s">
        <v>469</v>
      </c>
      <c r="D327" s="214">
        <v>1</v>
      </c>
      <c r="E327" s="27"/>
    </row>
    <row r="328" spans="1:5">
      <c r="A328" s="212">
        <v>31</v>
      </c>
      <c r="B328" s="4" t="s">
        <v>315</v>
      </c>
      <c r="C328" s="214" t="s">
        <v>469</v>
      </c>
      <c r="D328" s="214">
        <v>1</v>
      </c>
      <c r="E328" s="27"/>
    </row>
    <row r="329" spans="1:5">
      <c r="A329" s="212">
        <v>32</v>
      </c>
      <c r="B329" s="213" t="s">
        <v>318</v>
      </c>
      <c r="C329" s="214" t="s">
        <v>469</v>
      </c>
      <c r="D329" s="214">
        <v>1</v>
      </c>
      <c r="E329" s="27"/>
    </row>
    <row r="330" spans="1:5">
      <c r="A330" s="212">
        <v>33</v>
      </c>
      <c r="B330" s="213" t="s">
        <v>316</v>
      </c>
      <c r="C330" s="214" t="s">
        <v>469</v>
      </c>
      <c r="D330" s="214">
        <v>1</v>
      </c>
      <c r="E330" s="27"/>
    </row>
    <row r="331" spans="1:5">
      <c r="A331" s="212">
        <v>34</v>
      </c>
      <c r="B331" s="90" t="s">
        <v>319</v>
      </c>
      <c r="C331" s="214" t="s">
        <v>469</v>
      </c>
      <c r="D331" s="214">
        <v>1</v>
      </c>
      <c r="E331" s="27"/>
    </row>
    <row r="332" spans="1:5">
      <c r="A332" s="212">
        <v>35</v>
      </c>
      <c r="B332" s="90" t="s">
        <v>320</v>
      </c>
      <c r="C332" s="214" t="s">
        <v>469</v>
      </c>
      <c r="D332" s="214">
        <v>1</v>
      </c>
      <c r="E332" s="27"/>
    </row>
    <row r="333" spans="1:5">
      <c r="A333" s="212">
        <v>36</v>
      </c>
      <c r="B333" s="94" t="s">
        <v>321</v>
      </c>
      <c r="C333" s="214" t="s">
        <v>469</v>
      </c>
      <c r="D333" s="214">
        <v>1</v>
      </c>
      <c r="E333" s="27"/>
    </row>
    <row r="334" spans="1:5">
      <c r="A334" s="212">
        <v>37</v>
      </c>
      <c r="B334" s="213" t="s">
        <v>322</v>
      </c>
      <c r="C334" s="214" t="s">
        <v>469</v>
      </c>
      <c r="D334" s="214">
        <v>1</v>
      </c>
      <c r="E334" s="27"/>
    </row>
    <row r="335" spans="1:5">
      <c r="A335" s="275">
        <v>38</v>
      </c>
      <c r="B335" s="276" t="s">
        <v>323</v>
      </c>
      <c r="C335" s="270" t="s">
        <v>469</v>
      </c>
      <c r="D335" s="270">
        <v>1</v>
      </c>
      <c r="E335" s="270"/>
    </row>
    <row r="337" spans="1:5" ht="19.5" customHeight="1">
      <c r="A337" s="266" t="s">
        <v>324</v>
      </c>
      <c r="B337" s="267"/>
      <c r="C337" s="267"/>
      <c r="D337" s="267"/>
      <c r="E337" s="267"/>
    </row>
    <row r="338" spans="1:5" ht="36" customHeight="1">
      <c r="A338" s="99" t="s">
        <v>2</v>
      </c>
      <c r="B338" s="99" t="s">
        <v>7</v>
      </c>
      <c r="C338" s="99" t="s">
        <v>8</v>
      </c>
      <c r="D338" s="99" t="s">
        <v>481</v>
      </c>
      <c r="E338" s="99" t="s">
        <v>4</v>
      </c>
    </row>
    <row r="339" spans="1:5">
      <c r="A339" s="102">
        <v>1</v>
      </c>
      <c r="B339" s="103" t="s">
        <v>375</v>
      </c>
      <c r="C339" s="102" t="s">
        <v>326</v>
      </c>
      <c r="D339" s="102">
        <v>2</v>
      </c>
      <c r="E339" s="102"/>
    </row>
    <row r="340" spans="1:5">
      <c r="A340" s="27">
        <v>2</v>
      </c>
      <c r="B340" s="127" t="s">
        <v>376</v>
      </c>
      <c r="C340" s="27" t="s">
        <v>326</v>
      </c>
      <c r="D340" s="27">
        <v>2</v>
      </c>
      <c r="E340" s="27"/>
    </row>
    <row r="341" spans="1:5" ht="47.25">
      <c r="A341" s="27">
        <v>3</v>
      </c>
      <c r="B341" s="26" t="s">
        <v>377</v>
      </c>
      <c r="C341" s="27" t="s">
        <v>329</v>
      </c>
      <c r="D341" s="27">
        <v>1</v>
      </c>
      <c r="E341" s="27"/>
    </row>
    <row r="342" spans="1:5">
      <c r="A342" s="27">
        <v>4</v>
      </c>
      <c r="B342" s="26" t="s">
        <v>378</v>
      </c>
      <c r="C342" s="27" t="s">
        <v>326</v>
      </c>
      <c r="D342" s="27">
        <v>1</v>
      </c>
      <c r="E342" s="27"/>
    </row>
    <row r="343" spans="1:5">
      <c r="A343" s="27">
        <v>5</v>
      </c>
      <c r="B343" s="127" t="s">
        <v>379</v>
      </c>
      <c r="C343" s="27" t="s">
        <v>326</v>
      </c>
      <c r="D343" s="27">
        <v>1</v>
      </c>
      <c r="E343" s="27"/>
    </row>
    <row r="344" spans="1:5">
      <c r="A344" s="27">
        <v>6</v>
      </c>
      <c r="B344" s="127" t="s">
        <v>380</v>
      </c>
      <c r="C344" s="27" t="s">
        <v>326</v>
      </c>
      <c r="D344" s="27">
        <v>1</v>
      </c>
      <c r="E344" s="27"/>
    </row>
    <row r="345" spans="1:5">
      <c r="A345" s="27">
        <v>7</v>
      </c>
      <c r="B345" s="127" t="s">
        <v>381</v>
      </c>
      <c r="C345" s="27" t="s">
        <v>326</v>
      </c>
      <c r="D345" s="27">
        <v>1</v>
      </c>
      <c r="E345" s="27"/>
    </row>
    <row r="346" spans="1:5">
      <c r="A346" s="27">
        <v>8</v>
      </c>
      <c r="B346" s="127" t="s">
        <v>382</v>
      </c>
      <c r="C346" s="27" t="s">
        <v>326</v>
      </c>
      <c r="D346" s="27">
        <v>1</v>
      </c>
      <c r="E346" s="27"/>
    </row>
    <row r="347" spans="1:5">
      <c r="A347" s="27">
        <v>9</v>
      </c>
      <c r="B347" s="127" t="s">
        <v>383</v>
      </c>
      <c r="C347" s="27" t="s">
        <v>326</v>
      </c>
      <c r="D347" s="27">
        <v>1</v>
      </c>
      <c r="E347" s="27"/>
    </row>
    <row r="348" spans="1:5">
      <c r="A348" s="27">
        <v>10</v>
      </c>
      <c r="B348" s="127" t="s">
        <v>384</v>
      </c>
      <c r="C348" s="27" t="s">
        <v>326</v>
      </c>
      <c r="D348" s="27">
        <v>1</v>
      </c>
      <c r="E348" s="27"/>
    </row>
    <row r="349" spans="1:5">
      <c r="A349" s="29">
        <v>11</v>
      </c>
      <c r="B349" s="277" t="s">
        <v>385</v>
      </c>
      <c r="C349" s="29" t="s">
        <v>326</v>
      </c>
      <c r="D349" s="29">
        <v>1</v>
      </c>
      <c r="E349" s="29"/>
    </row>
    <row r="351" spans="1:5">
      <c r="A351" s="266" t="s">
        <v>330</v>
      </c>
      <c r="B351" s="267"/>
      <c r="C351" s="267"/>
      <c r="D351" s="267"/>
      <c r="E351" s="267"/>
    </row>
    <row r="352" spans="1:5" ht="15.75" customHeight="1">
      <c r="A352" s="231" t="s">
        <v>2</v>
      </c>
      <c r="B352" s="231" t="s">
        <v>7</v>
      </c>
      <c r="C352" s="231" t="s">
        <v>8</v>
      </c>
      <c r="D352" s="231" t="s">
        <v>414</v>
      </c>
      <c r="E352" s="236" t="s">
        <v>4</v>
      </c>
    </row>
    <row r="353" spans="1:5">
      <c r="A353" s="232"/>
      <c r="B353" s="232"/>
      <c r="C353" s="232"/>
      <c r="D353" s="232"/>
      <c r="E353" s="237" t="s">
        <v>4</v>
      </c>
    </row>
    <row r="354" spans="1:5">
      <c r="A354" s="133">
        <v>1</v>
      </c>
      <c r="B354" s="134" t="s">
        <v>332</v>
      </c>
      <c r="C354" s="135" t="s">
        <v>333</v>
      </c>
      <c r="D354" s="135">
        <v>6</v>
      </c>
      <c r="E354" s="133"/>
    </row>
    <row r="355" spans="1:5">
      <c r="A355" s="27">
        <v>2</v>
      </c>
      <c r="B355" s="3" t="s">
        <v>335</v>
      </c>
      <c r="C355" s="88" t="s">
        <v>333</v>
      </c>
      <c r="D355" s="88">
        <v>6</v>
      </c>
      <c r="E355" s="27"/>
    </row>
    <row r="356" spans="1:5">
      <c r="A356" s="27">
        <v>3</v>
      </c>
      <c r="B356" s="3" t="s">
        <v>336</v>
      </c>
      <c r="C356" s="88" t="s">
        <v>337</v>
      </c>
      <c r="D356" s="88">
        <v>10</v>
      </c>
      <c r="E356" s="27"/>
    </row>
    <row r="357" spans="1:5">
      <c r="A357" s="27">
        <v>4</v>
      </c>
      <c r="B357" s="3" t="s">
        <v>338</v>
      </c>
      <c r="C357" s="88" t="s">
        <v>288</v>
      </c>
      <c r="D357" s="88">
        <v>2</v>
      </c>
      <c r="E357" s="27"/>
    </row>
    <row r="358" spans="1:5">
      <c r="A358" s="27">
        <v>5</v>
      </c>
      <c r="B358" s="3" t="s">
        <v>455</v>
      </c>
      <c r="C358" s="88" t="s">
        <v>331</v>
      </c>
      <c r="D358" s="88">
        <v>5</v>
      </c>
      <c r="E358" s="27"/>
    </row>
    <row r="359" spans="1:5">
      <c r="A359" s="27">
        <v>6</v>
      </c>
      <c r="B359" s="3" t="s">
        <v>341</v>
      </c>
      <c r="C359" s="88" t="s">
        <v>331</v>
      </c>
      <c r="D359" s="88">
        <v>3</v>
      </c>
      <c r="E359" s="27"/>
    </row>
    <row r="360" spans="1:5">
      <c r="A360" s="27">
        <v>7</v>
      </c>
      <c r="B360" s="3" t="s">
        <v>342</v>
      </c>
      <c r="C360" s="88" t="s">
        <v>331</v>
      </c>
      <c r="D360" s="88">
        <v>3</v>
      </c>
      <c r="E360" s="27"/>
    </row>
    <row r="361" spans="1:5">
      <c r="A361" s="27">
        <v>8</v>
      </c>
      <c r="B361" s="3" t="s">
        <v>343</v>
      </c>
      <c r="C361" s="88" t="s">
        <v>331</v>
      </c>
      <c r="D361" s="88">
        <v>1</v>
      </c>
      <c r="E361" s="27"/>
    </row>
    <row r="362" spans="1:5">
      <c r="A362" s="27">
        <v>9</v>
      </c>
      <c r="B362" s="3" t="s">
        <v>344</v>
      </c>
      <c r="C362" s="88" t="s">
        <v>331</v>
      </c>
      <c r="D362" s="88">
        <v>1</v>
      </c>
      <c r="E362" s="27"/>
    </row>
    <row r="363" spans="1:5">
      <c r="A363" s="27">
        <v>10</v>
      </c>
      <c r="B363" s="3" t="s">
        <v>345</v>
      </c>
      <c r="C363" s="88" t="s">
        <v>331</v>
      </c>
      <c r="D363" s="88">
        <v>1</v>
      </c>
      <c r="E363" s="27"/>
    </row>
    <row r="364" spans="1:5">
      <c r="A364" s="27">
        <v>11</v>
      </c>
      <c r="B364" s="3" t="s">
        <v>346</v>
      </c>
      <c r="C364" s="88" t="s">
        <v>333</v>
      </c>
      <c r="D364" s="88">
        <v>5</v>
      </c>
      <c r="E364" s="27"/>
    </row>
    <row r="365" spans="1:5">
      <c r="A365" s="27">
        <v>12</v>
      </c>
      <c r="B365" s="3" t="s">
        <v>347</v>
      </c>
      <c r="C365" s="88" t="s">
        <v>333</v>
      </c>
      <c r="D365" s="88">
        <v>5</v>
      </c>
      <c r="E365" s="27"/>
    </row>
    <row r="366" spans="1:5">
      <c r="A366" s="27">
        <v>13</v>
      </c>
      <c r="B366" s="3" t="s">
        <v>348</v>
      </c>
      <c r="C366" s="88" t="s">
        <v>331</v>
      </c>
      <c r="D366" s="88">
        <v>1000</v>
      </c>
      <c r="E366" s="27"/>
    </row>
    <row r="367" spans="1:5">
      <c r="A367" s="27">
        <v>14</v>
      </c>
      <c r="B367" s="3" t="s">
        <v>350</v>
      </c>
      <c r="C367" s="88" t="s">
        <v>349</v>
      </c>
      <c r="D367" s="88">
        <v>5</v>
      </c>
      <c r="E367" s="27"/>
    </row>
    <row r="368" spans="1:5">
      <c r="A368" s="27">
        <v>15</v>
      </c>
      <c r="B368" s="3" t="s">
        <v>351</v>
      </c>
      <c r="C368" s="88" t="s">
        <v>331</v>
      </c>
      <c r="D368" s="88">
        <v>4</v>
      </c>
      <c r="E368" s="27"/>
    </row>
    <row r="369" spans="1:5">
      <c r="A369" s="27">
        <v>16</v>
      </c>
      <c r="B369" s="3" t="s">
        <v>352</v>
      </c>
      <c r="C369" s="88" t="s">
        <v>461</v>
      </c>
      <c r="D369" s="88">
        <v>6</v>
      </c>
      <c r="E369" s="27"/>
    </row>
    <row r="370" spans="1:5">
      <c r="A370" s="27">
        <v>17</v>
      </c>
      <c r="B370" s="3" t="s">
        <v>353</v>
      </c>
      <c r="C370" s="88" t="s">
        <v>354</v>
      </c>
      <c r="D370" s="88">
        <v>200</v>
      </c>
      <c r="E370" s="27"/>
    </row>
    <row r="371" spans="1:5">
      <c r="A371" s="27">
        <v>18</v>
      </c>
      <c r="B371" s="3" t="s">
        <v>355</v>
      </c>
      <c r="C371" s="88" t="s">
        <v>331</v>
      </c>
      <c r="D371" s="88">
        <v>4</v>
      </c>
      <c r="E371" s="27"/>
    </row>
    <row r="372" spans="1:5">
      <c r="A372" s="27">
        <v>19</v>
      </c>
      <c r="B372" s="3" t="s">
        <v>356</v>
      </c>
      <c r="C372" s="88" t="s">
        <v>358</v>
      </c>
      <c r="D372" s="88">
        <v>200</v>
      </c>
      <c r="E372" s="27"/>
    </row>
    <row r="373" spans="1:5">
      <c r="A373" s="27">
        <v>20</v>
      </c>
      <c r="B373" s="3" t="s">
        <v>359</v>
      </c>
      <c r="C373" s="88" t="s">
        <v>339</v>
      </c>
      <c r="D373" s="88">
        <v>10</v>
      </c>
      <c r="E373" s="27"/>
    </row>
    <row r="374" spans="1:5">
      <c r="A374" s="27">
        <v>21</v>
      </c>
      <c r="B374" s="3" t="s">
        <v>360</v>
      </c>
      <c r="C374" s="88" t="s">
        <v>331</v>
      </c>
      <c r="D374" s="88">
        <v>3</v>
      </c>
      <c r="E374" s="27"/>
    </row>
    <row r="375" spans="1:5">
      <c r="A375" s="27">
        <v>22</v>
      </c>
      <c r="B375" s="3" t="s">
        <v>361</v>
      </c>
      <c r="C375" s="88" t="s">
        <v>333</v>
      </c>
      <c r="D375" s="88">
        <v>7</v>
      </c>
      <c r="E375" s="27"/>
    </row>
    <row r="376" spans="1:5">
      <c r="A376" s="27">
        <v>23</v>
      </c>
      <c r="B376" s="3" t="s">
        <v>362</v>
      </c>
      <c r="C376" s="88" t="s">
        <v>349</v>
      </c>
      <c r="D376" s="88">
        <v>6</v>
      </c>
      <c r="E376" s="27"/>
    </row>
    <row r="377" spans="1:5">
      <c r="A377" s="27">
        <v>24</v>
      </c>
      <c r="B377" s="3" t="s">
        <v>363</v>
      </c>
      <c r="C377" s="88" t="s">
        <v>333</v>
      </c>
      <c r="D377" s="88">
        <v>10</v>
      </c>
      <c r="E377" s="27"/>
    </row>
    <row r="378" spans="1:5">
      <c r="A378" s="27">
        <v>25</v>
      </c>
      <c r="B378" s="3" t="s">
        <v>364</v>
      </c>
      <c r="C378" s="88" t="s">
        <v>333</v>
      </c>
      <c r="D378" s="88">
        <v>10</v>
      </c>
      <c r="E378" s="27"/>
    </row>
    <row r="379" spans="1:5">
      <c r="A379" s="27">
        <v>26</v>
      </c>
      <c r="B379" s="3" t="s">
        <v>366</v>
      </c>
      <c r="C379" s="88" t="s">
        <v>365</v>
      </c>
      <c r="D379" s="88">
        <v>4</v>
      </c>
      <c r="E379" s="27"/>
    </row>
    <row r="380" spans="1:5">
      <c r="A380" s="27">
        <v>27</v>
      </c>
      <c r="B380" s="3" t="s">
        <v>367</v>
      </c>
      <c r="C380" s="88" t="s">
        <v>365</v>
      </c>
      <c r="D380" s="88">
        <v>4</v>
      </c>
      <c r="E380" s="27"/>
    </row>
    <row r="381" spans="1:5">
      <c r="A381" s="27">
        <v>28</v>
      </c>
      <c r="B381" s="3" t="s">
        <v>369</v>
      </c>
      <c r="C381" s="88" t="s">
        <v>331</v>
      </c>
      <c r="D381" s="88">
        <v>3</v>
      </c>
      <c r="E381" s="27"/>
    </row>
    <row r="382" spans="1:5">
      <c r="A382" s="27">
        <v>29</v>
      </c>
      <c r="B382" s="3" t="s">
        <v>370</v>
      </c>
      <c r="C382" s="88" t="s">
        <v>331</v>
      </c>
      <c r="D382" s="88">
        <v>3</v>
      </c>
      <c r="E382" s="27"/>
    </row>
    <row r="383" spans="1:5">
      <c r="A383" s="27">
        <v>30</v>
      </c>
      <c r="B383" s="3" t="s">
        <v>371</v>
      </c>
      <c r="C383" s="88" t="s">
        <v>331</v>
      </c>
      <c r="D383" s="88">
        <v>3</v>
      </c>
      <c r="E383" s="27"/>
    </row>
    <row r="384" spans="1:5">
      <c r="A384" s="29">
        <v>31</v>
      </c>
      <c r="B384" s="138" t="s">
        <v>372</v>
      </c>
      <c r="C384" s="139" t="s">
        <v>331</v>
      </c>
      <c r="D384" s="139">
        <v>5</v>
      </c>
      <c r="E384" s="29"/>
    </row>
    <row r="386" spans="1:8">
      <c r="A386" s="227"/>
      <c r="B386" s="227"/>
      <c r="C386" s="227"/>
      <c r="D386" s="227"/>
      <c r="E386" s="73"/>
      <c r="H386" s="80"/>
    </row>
    <row r="387" spans="1:8">
      <c r="A387" s="74"/>
      <c r="B387" s="75"/>
      <c r="C387" s="76"/>
      <c r="D387" s="76"/>
      <c r="E387" s="75"/>
    </row>
    <row r="388" spans="1:8">
      <c r="A388" s="226"/>
      <c r="B388" s="77"/>
      <c r="C388" s="226"/>
      <c r="D388" s="226"/>
      <c r="E388" s="50"/>
    </row>
    <row r="389" spans="1:8" ht="47.25" customHeight="1">
      <c r="A389" s="228"/>
      <c r="B389" s="228"/>
      <c r="C389" s="228"/>
      <c r="D389" s="228"/>
      <c r="E389" s="228"/>
    </row>
  </sheetData>
  <mergeCells count="34">
    <mergeCell ref="E352:E353"/>
    <mergeCell ref="A386:D386"/>
    <mergeCell ref="A389:E389"/>
    <mergeCell ref="A2:E2"/>
    <mergeCell ref="A3:E3"/>
    <mergeCell ref="A1:E1"/>
    <mergeCell ref="A337:E337"/>
    <mergeCell ref="A351:E351"/>
    <mergeCell ref="A352:A353"/>
    <mergeCell ref="B352:B353"/>
    <mergeCell ref="C352:C353"/>
    <mergeCell ref="D352:D353"/>
    <mergeCell ref="E135:E136"/>
    <mergeCell ref="F135:F136"/>
    <mergeCell ref="A196:E196"/>
    <mergeCell ref="A198:B198"/>
    <mergeCell ref="A297:B297"/>
    <mergeCell ref="E78:E79"/>
    <mergeCell ref="A134:F134"/>
    <mergeCell ref="A135:A136"/>
    <mergeCell ref="B135:B136"/>
    <mergeCell ref="C135:C136"/>
    <mergeCell ref="D135:D136"/>
    <mergeCell ref="E6:E7"/>
    <mergeCell ref="A77:E77"/>
    <mergeCell ref="A78:A79"/>
    <mergeCell ref="B78:B79"/>
    <mergeCell ref="C78:C79"/>
    <mergeCell ref="D78:D79"/>
    <mergeCell ref="A5:E5"/>
    <mergeCell ref="A6:A7"/>
    <mergeCell ref="B6:B7"/>
    <mergeCell ref="C6:C7"/>
    <mergeCell ref="D6:D7"/>
  </mergeCells>
  <printOptions horizontalCentered="1"/>
  <pageMargins left="0.19685039370078741" right="0.19685039370078741" top="0.39370078740157483" bottom="0.39370078740157483"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dimension ref="A1:N412"/>
  <sheetViews>
    <sheetView topLeftCell="A391" workbookViewId="0">
      <selection activeCell="N11" sqref="N11"/>
    </sheetView>
  </sheetViews>
  <sheetFormatPr defaultRowHeight="15.75"/>
  <cols>
    <col min="1" max="1" width="4.75" style="79" customWidth="1"/>
    <col min="2" max="2" width="35.625" style="79" customWidth="1"/>
    <col min="3" max="3" width="12.875" style="79" customWidth="1"/>
    <col min="4" max="4" width="9.75" style="79" customWidth="1"/>
    <col min="5" max="5" width="5.75" style="79" customWidth="1"/>
    <col min="6" max="6" width="10.125" style="79" bestFit="1" customWidth="1"/>
    <col min="7" max="7" width="10.5" style="79" customWidth="1"/>
    <col min="8" max="8" width="12.5" style="79" customWidth="1"/>
    <col min="9" max="9" width="10" style="79" customWidth="1"/>
    <col min="10" max="10" width="12.625" style="79" customWidth="1"/>
    <col min="11" max="11" width="8.875" style="79" customWidth="1"/>
    <col min="12" max="12" width="5.125" style="79" customWidth="1"/>
    <col min="13" max="13" width="9" style="79"/>
    <col min="14" max="14" width="16.875" style="79" customWidth="1"/>
    <col min="15" max="16384" width="9" style="79"/>
  </cols>
  <sheetData>
    <row r="1" spans="1:11">
      <c r="A1" s="258" t="s">
        <v>0</v>
      </c>
      <c r="B1" s="258"/>
      <c r="C1" s="258"/>
      <c r="D1" s="259" t="s">
        <v>463</v>
      </c>
      <c r="E1" s="259"/>
      <c r="F1" s="259"/>
      <c r="G1" s="259"/>
      <c r="H1" s="259"/>
      <c r="I1" s="259"/>
      <c r="J1" s="259"/>
      <c r="K1" s="259"/>
    </row>
    <row r="2" spans="1:11">
      <c r="A2" s="260" t="s">
        <v>464</v>
      </c>
      <c r="B2" s="260"/>
      <c r="C2" s="260"/>
      <c r="D2" s="259" t="s">
        <v>465</v>
      </c>
      <c r="E2" s="259"/>
      <c r="F2" s="259"/>
      <c r="G2" s="259"/>
      <c r="H2" s="259"/>
      <c r="I2" s="259"/>
      <c r="J2" s="259"/>
      <c r="K2" s="259"/>
    </row>
    <row r="3" spans="1:11">
      <c r="A3" s="258"/>
      <c r="B3" s="258"/>
      <c r="C3" s="258"/>
      <c r="D3" s="49"/>
      <c r="E3" s="49"/>
      <c r="F3" s="80"/>
      <c r="G3" s="81"/>
      <c r="H3" s="50"/>
      <c r="I3" s="50"/>
      <c r="J3" s="50"/>
      <c r="K3" s="50"/>
    </row>
    <row r="4" spans="1:11">
      <c r="A4" s="49"/>
      <c r="B4" s="51"/>
      <c r="C4" s="52"/>
      <c r="D4" s="253" t="s">
        <v>473</v>
      </c>
      <c r="E4" s="253"/>
      <c r="F4" s="253"/>
      <c r="G4" s="253"/>
      <c r="H4" s="253"/>
      <c r="I4" s="253"/>
      <c r="J4" s="253"/>
      <c r="K4" s="253"/>
    </row>
    <row r="5" spans="1:11">
      <c r="A5" s="49"/>
      <c r="B5" s="51"/>
      <c r="C5" s="52"/>
      <c r="D5" s="53"/>
      <c r="E5" s="53"/>
      <c r="F5" s="82"/>
      <c r="G5" s="83"/>
      <c r="H5" s="54"/>
      <c r="I5" s="54"/>
      <c r="J5" s="55"/>
      <c r="K5" s="55"/>
    </row>
    <row r="6" spans="1:11">
      <c r="A6" s="254" t="s">
        <v>1</v>
      </c>
      <c r="B6" s="254"/>
      <c r="C6" s="254"/>
      <c r="D6" s="254"/>
      <c r="E6" s="254"/>
      <c r="F6" s="254"/>
      <c r="G6" s="254"/>
      <c r="H6" s="254"/>
      <c r="I6" s="254"/>
      <c r="J6" s="254"/>
      <c r="K6" s="254"/>
    </row>
    <row r="7" spans="1:11">
      <c r="A7" s="255" t="s">
        <v>474</v>
      </c>
      <c r="B7" s="255"/>
      <c r="C7" s="255"/>
      <c r="D7" s="255"/>
      <c r="E7" s="255"/>
      <c r="F7" s="255"/>
      <c r="G7" s="255"/>
      <c r="H7" s="255"/>
      <c r="I7" s="255"/>
      <c r="J7" s="255"/>
      <c r="K7" s="255"/>
    </row>
    <row r="8" spans="1:11" s="84" customFormat="1">
      <c r="A8" s="57"/>
      <c r="B8" s="57"/>
      <c r="C8" s="57"/>
      <c r="D8" s="57"/>
      <c r="E8" s="57"/>
      <c r="F8" s="57"/>
      <c r="G8" s="57"/>
      <c r="H8" s="57"/>
      <c r="I8" s="57"/>
      <c r="J8" s="57"/>
      <c r="K8" s="57"/>
    </row>
    <row r="9" spans="1:11" s="211" customFormat="1">
      <c r="A9" s="210"/>
      <c r="B9" s="210"/>
      <c r="C9" s="210"/>
      <c r="D9" s="210"/>
      <c r="E9" s="210"/>
      <c r="F9" s="210"/>
      <c r="G9" s="210"/>
      <c r="H9" s="210"/>
      <c r="I9" s="210"/>
      <c r="J9" s="210"/>
      <c r="K9" s="210"/>
    </row>
    <row r="10" spans="1:11" s="84" customFormat="1">
      <c r="A10" s="57"/>
      <c r="B10" s="57"/>
      <c r="C10" s="57"/>
      <c r="D10" s="57"/>
      <c r="E10" s="57"/>
      <c r="F10" s="57"/>
      <c r="G10" s="57"/>
      <c r="H10" s="57"/>
      <c r="I10" s="57"/>
      <c r="J10" s="57"/>
      <c r="K10" s="57"/>
    </row>
    <row r="11" spans="1:11">
      <c r="A11" s="256" t="s">
        <v>5</v>
      </c>
      <c r="B11" s="257"/>
      <c r="C11" s="257"/>
      <c r="D11" s="257"/>
      <c r="E11" s="257"/>
      <c r="F11" s="257"/>
      <c r="G11" s="257"/>
      <c r="H11" s="257"/>
      <c r="I11" s="257"/>
      <c r="J11" s="257"/>
      <c r="K11" s="257"/>
    </row>
    <row r="12" spans="1:11">
      <c r="A12" s="85"/>
      <c r="B12" s="85"/>
      <c r="C12" s="85"/>
      <c r="D12" s="85"/>
      <c r="E12" s="85"/>
      <c r="F12" s="85"/>
      <c r="G12" s="85"/>
      <c r="H12" s="85"/>
      <c r="I12" s="85"/>
      <c r="J12" s="56"/>
      <c r="K12" s="86" t="s">
        <v>6</v>
      </c>
    </row>
    <row r="13" spans="1:11">
      <c r="A13" s="251" t="s">
        <v>2</v>
      </c>
      <c r="B13" s="252" t="s">
        <v>7</v>
      </c>
      <c r="C13" s="251" t="s">
        <v>413</v>
      </c>
      <c r="D13" s="252" t="s">
        <v>8</v>
      </c>
      <c r="E13" s="252" t="s">
        <v>414</v>
      </c>
      <c r="F13" s="247" t="s">
        <v>468</v>
      </c>
      <c r="G13" s="247"/>
      <c r="H13" s="247"/>
      <c r="I13" s="248" t="s">
        <v>415</v>
      </c>
      <c r="J13" s="249" t="s">
        <v>10</v>
      </c>
      <c r="K13" s="249" t="s">
        <v>4</v>
      </c>
    </row>
    <row r="14" spans="1:11" ht="63">
      <c r="A14" s="251"/>
      <c r="B14" s="252"/>
      <c r="C14" s="251"/>
      <c r="D14" s="252"/>
      <c r="E14" s="252"/>
      <c r="F14" s="141" t="s">
        <v>434</v>
      </c>
      <c r="G14" s="146" t="s">
        <v>443</v>
      </c>
      <c r="H14" s="47" t="s">
        <v>446</v>
      </c>
      <c r="I14" s="248"/>
      <c r="J14" s="250" t="s">
        <v>10</v>
      </c>
      <c r="K14" s="250" t="s">
        <v>4</v>
      </c>
    </row>
    <row r="15" spans="1:11">
      <c r="A15" s="70">
        <v>1</v>
      </c>
      <c r="B15" s="176" t="s">
        <v>16</v>
      </c>
      <c r="C15" s="176" t="s">
        <v>417</v>
      </c>
      <c r="D15" s="177" t="s">
        <v>420</v>
      </c>
      <c r="E15" s="70">
        <v>1</v>
      </c>
      <c r="F15" s="178">
        <v>441000</v>
      </c>
      <c r="G15" s="179">
        <v>485000</v>
      </c>
      <c r="H15" s="180">
        <v>472000</v>
      </c>
      <c r="I15" s="181">
        <f t="shared" ref="I15:I78" si="0">MIN(F15:H15)</f>
        <v>441000</v>
      </c>
      <c r="J15" s="182">
        <f t="shared" ref="J15:J78" si="1">E15*I15</f>
        <v>441000</v>
      </c>
      <c r="K15" s="70"/>
    </row>
    <row r="16" spans="1:11">
      <c r="A16" s="6">
        <v>2</v>
      </c>
      <c r="B16" s="4" t="s">
        <v>18</v>
      </c>
      <c r="C16" s="4" t="s">
        <v>11</v>
      </c>
      <c r="D16" s="5" t="s">
        <v>435</v>
      </c>
      <c r="E16" s="6">
        <v>1</v>
      </c>
      <c r="F16" s="142">
        <v>2436000</v>
      </c>
      <c r="G16" s="147">
        <v>2680000</v>
      </c>
      <c r="H16" s="42">
        <v>2607000</v>
      </c>
      <c r="I16" s="87">
        <f t="shared" si="0"/>
        <v>2436000</v>
      </c>
      <c r="J16" s="37">
        <f t="shared" si="1"/>
        <v>2436000</v>
      </c>
      <c r="K16" s="6" t="s">
        <v>13</v>
      </c>
    </row>
    <row r="17" spans="1:11">
      <c r="A17" s="6">
        <v>3</v>
      </c>
      <c r="B17" s="4" t="s">
        <v>19</v>
      </c>
      <c r="C17" s="4" t="s">
        <v>11</v>
      </c>
      <c r="D17" s="5" t="s">
        <v>422</v>
      </c>
      <c r="E17" s="6">
        <v>1</v>
      </c>
      <c r="F17" s="143">
        <v>1687000</v>
      </c>
      <c r="G17" s="148">
        <v>1856000</v>
      </c>
      <c r="H17" s="43">
        <v>1805000</v>
      </c>
      <c r="I17" s="87">
        <f t="shared" si="0"/>
        <v>1687000</v>
      </c>
      <c r="J17" s="37">
        <f t="shared" si="1"/>
        <v>1687000</v>
      </c>
      <c r="K17" s="10" t="s">
        <v>13</v>
      </c>
    </row>
    <row r="18" spans="1:11">
      <c r="A18" s="6">
        <v>4</v>
      </c>
      <c r="B18" s="8" t="s">
        <v>20</v>
      </c>
      <c r="C18" s="8" t="s">
        <v>26</v>
      </c>
      <c r="D18" s="9" t="s">
        <v>420</v>
      </c>
      <c r="E18" s="10">
        <v>2</v>
      </c>
      <c r="F18" s="142">
        <v>935000</v>
      </c>
      <c r="G18" s="147">
        <v>1029000</v>
      </c>
      <c r="H18" s="42">
        <v>1000000</v>
      </c>
      <c r="I18" s="87">
        <f t="shared" si="0"/>
        <v>935000</v>
      </c>
      <c r="J18" s="37">
        <f t="shared" si="1"/>
        <v>1870000</v>
      </c>
      <c r="K18" s="6"/>
    </row>
    <row r="19" spans="1:11">
      <c r="A19" s="6">
        <v>5</v>
      </c>
      <c r="B19" s="4" t="s">
        <v>21</v>
      </c>
      <c r="C19" s="4" t="s">
        <v>26</v>
      </c>
      <c r="D19" s="5" t="s">
        <v>420</v>
      </c>
      <c r="E19" s="6">
        <v>1</v>
      </c>
      <c r="F19" s="142">
        <v>588000</v>
      </c>
      <c r="G19" s="147">
        <v>647000</v>
      </c>
      <c r="H19" s="42">
        <v>629000</v>
      </c>
      <c r="I19" s="87">
        <f t="shared" si="0"/>
        <v>588000</v>
      </c>
      <c r="J19" s="37">
        <f t="shared" si="1"/>
        <v>588000</v>
      </c>
      <c r="K19" s="6"/>
    </row>
    <row r="20" spans="1:11">
      <c r="A20" s="6">
        <v>6</v>
      </c>
      <c r="B20" s="4" t="s">
        <v>23</v>
      </c>
      <c r="C20" s="4" t="s">
        <v>417</v>
      </c>
      <c r="D20" s="5" t="s">
        <v>420</v>
      </c>
      <c r="E20" s="6">
        <v>1</v>
      </c>
      <c r="F20" s="142">
        <v>1225000</v>
      </c>
      <c r="G20" s="147">
        <v>1348000</v>
      </c>
      <c r="H20" s="42">
        <v>1311000</v>
      </c>
      <c r="I20" s="87">
        <f t="shared" si="0"/>
        <v>1225000</v>
      </c>
      <c r="J20" s="37">
        <f t="shared" si="1"/>
        <v>1225000</v>
      </c>
      <c r="K20" s="6"/>
    </row>
    <row r="21" spans="1:11">
      <c r="A21" s="6">
        <v>7</v>
      </c>
      <c r="B21" s="4" t="s">
        <v>386</v>
      </c>
      <c r="C21" s="4" t="s">
        <v>26</v>
      </c>
      <c r="D21" s="5" t="s">
        <v>436</v>
      </c>
      <c r="E21" s="6">
        <v>1</v>
      </c>
      <c r="F21" s="142">
        <v>307000</v>
      </c>
      <c r="G21" s="147">
        <v>338000</v>
      </c>
      <c r="H21" s="42">
        <v>328000</v>
      </c>
      <c r="I21" s="87">
        <f t="shared" si="0"/>
        <v>307000</v>
      </c>
      <c r="J21" s="37">
        <f t="shared" si="1"/>
        <v>307000</v>
      </c>
      <c r="K21" s="6" t="s">
        <v>13</v>
      </c>
    </row>
    <row r="22" spans="1:11">
      <c r="A22" s="6">
        <v>8</v>
      </c>
      <c r="B22" s="4" t="s">
        <v>387</v>
      </c>
      <c r="C22" s="4" t="s">
        <v>17</v>
      </c>
      <c r="D22" s="5" t="s">
        <v>421</v>
      </c>
      <c r="E22" s="6">
        <v>2</v>
      </c>
      <c r="F22" s="143">
        <v>752000</v>
      </c>
      <c r="G22" s="148">
        <v>827000</v>
      </c>
      <c r="H22" s="43">
        <v>805000</v>
      </c>
      <c r="I22" s="87">
        <f t="shared" si="0"/>
        <v>752000</v>
      </c>
      <c r="J22" s="37">
        <f t="shared" si="1"/>
        <v>1504000</v>
      </c>
      <c r="K22" s="10"/>
    </row>
    <row r="23" spans="1:11">
      <c r="A23" s="6">
        <v>9</v>
      </c>
      <c r="B23" s="4" t="s">
        <v>388</v>
      </c>
      <c r="C23" s="4" t="s">
        <v>26</v>
      </c>
      <c r="D23" s="5" t="s">
        <v>12</v>
      </c>
      <c r="E23" s="6">
        <v>1</v>
      </c>
      <c r="F23" s="143">
        <v>3573000</v>
      </c>
      <c r="G23" s="148">
        <v>3930000</v>
      </c>
      <c r="H23" s="43">
        <v>3823000</v>
      </c>
      <c r="I23" s="87">
        <f t="shared" si="0"/>
        <v>3573000</v>
      </c>
      <c r="J23" s="37">
        <f t="shared" si="1"/>
        <v>3573000</v>
      </c>
      <c r="K23" s="10" t="s">
        <v>13</v>
      </c>
    </row>
    <row r="24" spans="1:11">
      <c r="A24" s="6">
        <v>10</v>
      </c>
      <c r="B24" s="4" t="s">
        <v>388</v>
      </c>
      <c r="C24" s="4" t="s">
        <v>447</v>
      </c>
      <c r="D24" s="5" t="s">
        <v>421</v>
      </c>
      <c r="E24" s="6">
        <v>1</v>
      </c>
      <c r="F24" s="143">
        <v>342000</v>
      </c>
      <c r="G24" s="148">
        <v>376000</v>
      </c>
      <c r="H24" s="43">
        <v>366000</v>
      </c>
      <c r="I24" s="87">
        <f t="shared" si="0"/>
        <v>342000</v>
      </c>
      <c r="J24" s="37">
        <f t="shared" si="1"/>
        <v>342000</v>
      </c>
      <c r="K24" s="10"/>
    </row>
    <row r="25" spans="1:11">
      <c r="A25" s="6">
        <v>11</v>
      </c>
      <c r="B25" s="8" t="s">
        <v>25</v>
      </c>
      <c r="C25" s="8" t="s">
        <v>26</v>
      </c>
      <c r="D25" s="9" t="s">
        <v>27</v>
      </c>
      <c r="E25" s="10">
        <v>1</v>
      </c>
      <c r="F25" s="142">
        <v>3283000</v>
      </c>
      <c r="G25" s="147">
        <v>3611000</v>
      </c>
      <c r="H25" s="42">
        <v>3513000</v>
      </c>
      <c r="I25" s="87">
        <f t="shared" si="0"/>
        <v>3283000</v>
      </c>
      <c r="J25" s="37">
        <f t="shared" si="1"/>
        <v>3283000</v>
      </c>
      <c r="K25" s="6" t="s">
        <v>13</v>
      </c>
    </row>
    <row r="26" spans="1:11">
      <c r="A26" s="6">
        <v>12</v>
      </c>
      <c r="B26" s="13" t="s">
        <v>28</v>
      </c>
      <c r="C26" s="13" t="s">
        <v>66</v>
      </c>
      <c r="D26" s="11" t="s">
        <v>423</v>
      </c>
      <c r="E26" s="12">
        <v>1</v>
      </c>
      <c r="F26" s="143">
        <v>99000</v>
      </c>
      <c r="G26" s="148">
        <v>109000</v>
      </c>
      <c r="H26" s="43">
        <v>106000</v>
      </c>
      <c r="I26" s="87">
        <f t="shared" si="0"/>
        <v>99000</v>
      </c>
      <c r="J26" s="37">
        <f t="shared" si="1"/>
        <v>99000</v>
      </c>
      <c r="K26" s="10"/>
    </row>
    <row r="27" spans="1:11">
      <c r="A27" s="6">
        <v>13</v>
      </c>
      <c r="B27" s="7" t="s">
        <v>30</v>
      </c>
      <c r="C27" s="7" t="s">
        <v>66</v>
      </c>
      <c r="D27" s="3" t="s">
        <v>333</v>
      </c>
      <c r="E27" s="88">
        <v>1</v>
      </c>
      <c r="F27" s="142">
        <v>3631000</v>
      </c>
      <c r="G27" s="147">
        <v>3994000</v>
      </c>
      <c r="H27" s="42">
        <v>3885000</v>
      </c>
      <c r="I27" s="87">
        <f t="shared" si="0"/>
        <v>3631000</v>
      </c>
      <c r="J27" s="37">
        <f t="shared" si="1"/>
        <v>3631000</v>
      </c>
      <c r="K27" s="89"/>
    </row>
    <row r="28" spans="1:11">
      <c r="A28" s="6">
        <v>14</v>
      </c>
      <c r="B28" s="7" t="s">
        <v>31</v>
      </c>
      <c r="C28" s="7" t="s">
        <v>66</v>
      </c>
      <c r="D28" s="3" t="s">
        <v>419</v>
      </c>
      <c r="E28" s="88">
        <v>1</v>
      </c>
      <c r="F28" s="143">
        <v>536000</v>
      </c>
      <c r="G28" s="148">
        <v>590000</v>
      </c>
      <c r="H28" s="43">
        <v>574000</v>
      </c>
      <c r="I28" s="87">
        <f t="shared" si="0"/>
        <v>536000</v>
      </c>
      <c r="J28" s="37">
        <f t="shared" si="1"/>
        <v>536000</v>
      </c>
      <c r="K28" s="10"/>
    </row>
    <row r="29" spans="1:11" ht="31.5">
      <c r="A29" s="6">
        <v>15</v>
      </c>
      <c r="B29" s="7" t="s">
        <v>32</v>
      </c>
      <c r="C29" s="7" t="s">
        <v>66</v>
      </c>
      <c r="D29" s="3" t="s">
        <v>424</v>
      </c>
      <c r="E29" s="88">
        <v>1</v>
      </c>
      <c r="F29" s="142">
        <v>1898000</v>
      </c>
      <c r="G29" s="147">
        <v>2088000</v>
      </c>
      <c r="H29" s="42">
        <v>2031000</v>
      </c>
      <c r="I29" s="87">
        <f t="shared" si="0"/>
        <v>1898000</v>
      </c>
      <c r="J29" s="37">
        <f t="shared" si="1"/>
        <v>1898000</v>
      </c>
      <c r="K29" s="89"/>
    </row>
    <row r="30" spans="1:11">
      <c r="A30" s="6">
        <v>16</v>
      </c>
      <c r="B30" s="7" t="s">
        <v>33</v>
      </c>
      <c r="C30" s="7" t="s">
        <v>66</v>
      </c>
      <c r="D30" s="3" t="s">
        <v>419</v>
      </c>
      <c r="E30" s="88">
        <v>1</v>
      </c>
      <c r="F30" s="142">
        <v>510000</v>
      </c>
      <c r="G30" s="147">
        <v>561000</v>
      </c>
      <c r="H30" s="42">
        <v>546000</v>
      </c>
      <c r="I30" s="87">
        <f t="shared" si="0"/>
        <v>510000</v>
      </c>
      <c r="J30" s="37">
        <f t="shared" si="1"/>
        <v>510000</v>
      </c>
      <c r="K30" s="6"/>
    </row>
    <row r="31" spans="1:11">
      <c r="A31" s="6">
        <v>17</v>
      </c>
      <c r="B31" s="4" t="s">
        <v>34</v>
      </c>
      <c r="C31" s="4" t="s">
        <v>17</v>
      </c>
      <c r="D31" s="5" t="s">
        <v>29</v>
      </c>
      <c r="E31" s="6">
        <v>1</v>
      </c>
      <c r="F31" s="142">
        <v>1086000</v>
      </c>
      <c r="G31" s="147">
        <v>1195000</v>
      </c>
      <c r="H31" s="42">
        <v>1162000</v>
      </c>
      <c r="I31" s="87">
        <f t="shared" si="0"/>
        <v>1086000</v>
      </c>
      <c r="J31" s="37">
        <f t="shared" si="1"/>
        <v>1086000</v>
      </c>
      <c r="K31" s="6" t="s">
        <v>13</v>
      </c>
    </row>
    <row r="32" spans="1:11">
      <c r="A32" s="6">
        <v>18</v>
      </c>
      <c r="B32" s="8" t="s">
        <v>35</v>
      </c>
      <c r="C32" s="8" t="s">
        <v>417</v>
      </c>
      <c r="D32" s="5" t="s">
        <v>420</v>
      </c>
      <c r="E32" s="10">
        <v>2</v>
      </c>
      <c r="F32" s="142">
        <v>847000</v>
      </c>
      <c r="G32" s="147">
        <v>932000</v>
      </c>
      <c r="H32" s="42">
        <v>906000</v>
      </c>
      <c r="I32" s="87">
        <f t="shared" si="0"/>
        <v>847000</v>
      </c>
      <c r="J32" s="37">
        <f t="shared" si="1"/>
        <v>1694000</v>
      </c>
      <c r="K32" s="89"/>
    </row>
    <row r="33" spans="1:11">
      <c r="A33" s="6">
        <v>19</v>
      </c>
      <c r="B33" s="4" t="s">
        <v>36</v>
      </c>
      <c r="C33" s="4" t="s">
        <v>456</v>
      </c>
      <c r="D33" s="5" t="s">
        <v>420</v>
      </c>
      <c r="E33" s="6">
        <v>2</v>
      </c>
      <c r="F33" s="142">
        <v>580000</v>
      </c>
      <c r="G33" s="147">
        <v>638000</v>
      </c>
      <c r="H33" s="42">
        <v>621000</v>
      </c>
      <c r="I33" s="87">
        <f t="shared" si="0"/>
        <v>580000</v>
      </c>
      <c r="J33" s="37">
        <f t="shared" si="1"/>
        <v>1160000</v>
      </c>
      <c r="K33" s="6"/>
    </row>
    <row r="34" spans="1:11" ht="31.5">
      <c r="A34" s="6">
        <v>20</v>
      </c>
      <c r="B34" s="7" t="s">
        <v>37</v>
      </c>
      <c r="C34" s="88" t="s">
        <v>38</v>
      </c>
      <c r="D34" s="3" t="s">
        <v>39</v>
      </c>
      <c r="E34" s="88">
        <v>1</v>
      </c>
      <c r="F34" s="142">
        <v>2726000</v>
      </c>
      <c r="G34" s="147">
        <v>2999000</v>
      </c>
      <c r="H34" s="42">
        <v>2917000</v>
      </c>
      <c r="I34" s="87">
        <f t="shared" si="0"/>
        <v>2726000</v>
      </c>
      <c r="J34" s="37">
        <f t="shared" si="1"/>
        <v>2726000</v>
      </c>
      <c r="K34" s="6" t="s">
        <v>53</v>
      </c>
    </row>
    <row r="35" spans="1:11">
      <c r="A35" s="6">
        <v>21</v>
      </c>
      <c r="B35" s="90" t="s">
        <v>389</v>
      </c>
      <c r="C35" s="8" t="s">
        <v>17</v>
      </c>
      <c r="D35" s="9" t="s">
        <v>436</v>
      </c>
      <c r="E35" s="10">
        <v>1</v>
      </c>
      <c r="F35" s="144">
        <v>928000</v>
      </c>
      <c r="G35" s="149">
        <v>1021000</v>
      </c>
      <c r="H35" s="59">
        <v>993000</v>
      </c>
      <c r="I35" s="87">
        <f t="shared" si="0"/>
        <v>928000</v>
      </c>
      <c r="J35" s="37">
        <f t="shared" si="1"/>
        <v>928000</v>
      </c>
      <c r="K35" s="60"/>
    </row>
    <row r="36" spans="1:11">
      <c r="A36" s="6">
        <v>22</v>
      </c>
      <c r="B36" s="13" t="s">
        <v>40</v>
      </c>
      <c r="C36" s="13" t="s">
        <v>66</v>
      </c>
      <c r="D36" s="11" t="s">
        <v>41</v>
      </c>
      <c r="E36" s="12">
        <v>1</v>
      </c>
      <c r="F36" s="144">
        <v>292000</v>
      </c>
      <c r="G36" s="149">
        <v>321000</v>
      </c>
      <c r="H36" s="59">
        <v>312000</v>
      </c>
      <c r="I36" s="87">
        <f t="shared" si="0"/>
        <v>292000</v>
      </c>
      <c r="J36" s="37">
        <f t="shared" si="1"/>
        <v>292000</v>
      </c>
      <c r="K36" s="17"/>
    </row>
    <row r="37" spans="1:11">
      <c r="A37" s="6">
        <v>23</v>
      </c>
      <c r="B37" s="13" t="s">
        <v>42</v>
      </c>
      <c r="C37" s="13" t="s">
        <v>66</v>
      </c>
      <c r="D37" s="11" t="s">
        <v>41</v>
      </c>
      <c r="E37" s="12">
        <v>1</v>
      </c>
      <c r="F37" s="142">
        <v>381000</v>
      </c>
      <c r="G37" s="147">
        <v>250000</v>
      </c>
      <c r="H37" s="42">
        <v>340000</v>
      </c>
      <c r="I37" s="87">
        <f t="shared" si="0"/>
        <v>250000</v>
      </c>
      <c r="J37" s="37">
        <f t="shared" si="1"/>
        <v>250000</v>
      </c>
      <c r="K37" s="6"/>
    </row>
    <row r="38" spans="1:11">
      <c r="A38" s="6">
        <v>24</v>
      </c>
      <c r="B38" s="4" t="s">
        <v>43</v>
      </c>
      <c r="C38" s="4" t="s">
        <v>66</v>
      </c>
      <c r="D38" s="9" t="s">
        <v>418</v>
      </c>
      <c r="E38" s="6">
        <v>1</v>
      </c>
      <c r="F38" s="142">
        <v>93000</v>
      </c>
      <c r="G38" s="147">
        <v>102000</v>
      </c>
      <c r="H38" s="42">
        <v>100000</v>
      </c>
      <c r="I38" s="87">
        <f t="shared" si="0"/>
        <v>93000</v>
      </c>
      <c r="J38" s="37">
        <f t="shared" si="1"/>
        <v>93000</v>
      </c>
      <c r="K38" s="89"/>
    </row>
    <row r="39" spans="1:11">
      <c r="A39" s="6">
        <v>25</v>
      </c>
      <c r="B39" s="8" t="s">
        <v>390</v>
      </c>
      <c r="C39" s="8" t="s">
        <v>66</v>
      </c>
      <c r="D39" s="9" t="s">
        <v>422</v>
      </c>
      <c r="E39" s="10"/>
      <c r="F39" s="142">
        <v>132000</v>
      </c>
      <c r="G39" s="147">
        <v>145000</v>
      </c>
      <c r="H39" s="42">
        <v>141000</v>
      </c>
      <c r="I39" s="87">
        <f t="shared" si="0"/>
        <v>132000</v>
      </c>
      <c r="J39" s="37">
        <f t="shared" si="1"/>
        <v>0</v>
      </c>
      <c r="K39" s="89"/>
    </row>
    <row r="40" spans="1:11">
      <c r="A40" s="6">
        <v>26</v>
      </c>
      <c r="B40" s="8" t="s">
        <v>391</v>
      </c>
      <c r="C40" s="8" t="s">
        <v>447</v>
      </c>
      <c r="D40" s="9" t="s">
        <v>418</v>
      </c>
      <c r="E40" s="10">
        <v>1</v>
      </c>
      <c r="F40" s="142">
        <v>197000</v>
      </c>
      <c r="G40" s="147">
        <v>217000</v>
      </c>
      <c r="H40" s="42">
        <v>211000</v>
      </c>
      <c r="I40" s="87">
        <f t="shared" si="0"/>
        <v>197000</v>
      </c>
      <c r="J40" s="37">
        <f t="shared" si="1"/>
        <v>197000</v>
      </c>
      <c r="K40" s="89"/>
    </row>
    <row r="41" spans="1:11">
      <c r="A41" s="6">
        <v>27</v>
      </c>
      <c r="B41" s="15" t="s">
        <v>392</v>
      </c>
      <c r="C41" s="4" t="s">
        <v>11</v>
      </c>
      <c r="D41" s="5" t="s">
        <v>14</v>
      </c>
      <c r="E41" s="6">
        <v>1</v>
      </c>
      <c r="F41" s="142">
        <v>1311000</v>
      </c>
      <c r="G41" s="147">
        <v>1442000</v>
      </c>
      <c r="H41" s="42">
        <v>1403000</v>
      </c>
      <c r="I41" s="87">
        <f t="shared" si="0"/>
        <v>1311000</v>
      </c>
      <c r="J41" s="37">
        <f t="shared" si="1"/>
        <v>1311000</v>
      </c>
      <c r="K41" s="89"/>
    </row>
    <row r="42" spans="1:11">
      <c r="A42" s="6">
        <v>28</v>
      </c>
      <c r="B42" s="4" t="s">
        <v>44</v>
      </c>
      <c r="C42" s="4" t="s">
        <v>66</v>
      </c>
      <c r="D42" s="9" t="s">
        <v>422</v>
      </c>
      <c r="E42" s="6">
        <v>2</v>
      </c>
      <c r="F42" s="142">
        <v>261000</v>
      </c>
      <c r="G42" s="147">
        <v>287000</v>
      </c>
      <c r="H42" s="42">
        <v>279000</v>
      </c>
      <c r="I42" s="87">
        <f t="shared" si="0"/>
        <v>261000</v>
      </c>
      <c r="J42" s="37">
        <f t="shared" si="1"/>
        <v>522000</v>
      </c>
      <c r="K42" s="89"/>
    </row>
    <row r="43" spans="1:11">
      <c r="A43" s="6">
        <v>29</v>
      </c>
      <c r="B43" s="8" t="s">
        <v>45</v>
      </c>
      <c r="C43" s="8" t="s">
        <v>17</v>
      </c>
      <c r="D43" s="9" t="s">
        <v>27</v>
      </c>
      <c r="E43" s="10">
        <v>1</v>
      </c>
      <c r="F43" s="142">
        <v>1334000</v>
      </c>
      <c r="G43" s="147">
        <v>1467000</v>
      </c>
      <c r="H43" s="42">
        <v>1427000</v>
      </c>
      <c r="I43" s="87">
        <f t="shared" si="0"/>
        <v>1334000</v>
      </c>
      <c r="J43" s="37">
        <f t="shared" si="1"/>
        <v>1334000</v>
      </c>
      <c r="K43" s="6"/>
    </row>
    <row r="44" spans="1:11">
      <c r="A44" s="6">
        <v>30</v>
      </c>
      <c r="B44" s="4" t="s">
        <v>46</v>
      </c>
      <c r="C44" s="4" t="s">
        <v>17</v>
      </c>
      <c r="D44" s="5" t="s">
        <v>436</v>
      </c>
      <c r="E44" s="6">
        <v>1</v>
      </c>
      <c r="F44" s="142">
        <v>1061000</v>
      </c>
      <c r="G44" s="147">
        <v>1167000</v>
      </c>
      <c r="H44" s="42">
        <v>1135000</v>
      </c>
      <c r="I44" s="87">
        <f t="shared" si="0"/>
        <v>1061000</v>
      </c>
      <c r="J44" s="37">
        <f t="shared" si="1"/>
        <v>1061000</v>
      </c>
      <c r="K44" s="6"/>
    </row>
    <row r="45" spans="1:11">
      <c r="A45" s="6">
        <v>31</v>
      </c>
      <c r="B45" s="4" t="s">
        <v>47</v>
      </c>
      <c r="C45" s="4" t="s">
        <v>66</v>
      </c>
      <c r="D45" s="5" t="s">
        <v>421</v>
      </c>
      <c r="E45" s="6">
        <v>1</v>
      </c>
      <c r="F45" s="142">
        <v>188000</v>
      </c>
      <c r="G45" s="147">
        <v>207000</v>
      </c>
      <c r="H45" s="42">
        <v>201000</v>
      </c>
      <c r="I45" s="87">
        <f t="shared" si="0"/>
        <v>188000</v>
      </c>
      <c r="J45" s="37">
        <f t="shared" si="1"/>
        <v>188000</v>
      </c>
      <c r="K45" s="6"/>
    </row>
    <row r="46" spans="1:11">
      <c r="A46" s="6">
        <v>32</v>
      </c>
      <c r="B46" s="4" t="s">
        <v>48</v>
      </c>
      <c r="C46" s="4" t="s">
        <v>66</v>
      </c>
      <c r="D46" s="9" t="s">
        <v>421</v>
      </c>
      <c r="E46" s="6">
        <v>1</v>
      </c>
      <c r="F46" s="143">
        <v>327000</v>
      </c>
      <c r="G46" s="148">
        <v>360000</v>
      </c>
      <c r="H46" s="43">
        <v>350000</v>
      </c>
      <c r="I46" s="87">
        <f t="shared" si="0"/>
        <v>327000</v>
      </c>
      <c r="J46" s="37">
        <f t="shared" si="1"/>
        <v>327000</v>
      </c>
      <c r="K46" s="10"/>
    </row>
    <row r="47" spans="1:11">
      <c r="A47" s="6">
        <v>33</v>
      </c>
      <c r="B47" s="4" t="s">
        <v>50</v>
      </c>
      <c r="C47" s="4" t="s">
        <v>417</v>
      </c>
      <c r="D47" s="5" t="s">
        <v>421</v>
      </c>
      <c r="E47" s="6">
        <v>1</v>
      </c>
      <c r="F47" s="143">
        <v>1438000</v>
      </c>
      <c r="G47" s="148">
        <v>1582000</v>
      </c>
      <c r="H47" s="43">
        <v>1539000</v>
      </c>
      <c r="I47" s="87">
        <f t="shared" si="0"/>
        <v>1438000</v>
      </c>
      <c r="J47" s="37">
        <f t="shared" si="1"/>
        <v>1438000</v>
      </c>
      <c r="K47" s="10"/>
    </row>
    <row r="48" spans="1:11">
      <c r="A48" s="6">
        <v>34</v>
      </c>
      <c r="B48" s="13" t="s">
        <v>427</v>
      </c>
      <c r="C48" s="13" t="s">
        <v>66</v>
      </c>
      <c r="D48" s="11" t="s">
        <v>41</v>
      </c>
      <c r="E48" s="12">
        <v>1</v>
      </c>
      <c r="F48" s="142">
        <v>203000</v>
      </c>
      <c r="G48" s="147">
        <v>223000</v>
      </c>
      <c r="H48" s="42">
        <v>217000</v>
      </c>
      <c r="I48" s="87">
        <f t="shared" si="0"/>
        <v>203000</v>
      </c>
      <c r="J48" s="37">
        <f t="shared" si="1"/>
        <v>203000</v>
      </c>
      <c r="K48" s="6"/>
    </row>
    <row r="49" spans="1:11">
      <c r="A49" s="6">
        <v>35</v>
      </c>
      <c r="B49" s="4" t="s">
        <v>393</v>
      </c>
      <c r="C49" s="4" t="s">
        <v>66</v>
      </c>
      <c r="D49" s="5" t="s">
        <v>436</v>
      </c>
      <c r="E49" s="6">
        <v>1</v>
      </c>
      <c r="F49" s="142">
        <v>4089000</v>
      </c>
      <c r="G49" s="147">
        <v>4498000</v>
      </c>
      <c r="H49" s="42">
        <v>4375000</v>
      </c>
      <c r="I49" s="87">
        <f t="shared" si="0"/>
        <v>4089000</v>
      </c>
      <c r="J49" s="37">
        <f t="shared" si="1"/>
        <v>4089000</v>
      </c>
      <c r="K49" s="6"/>
    </row>
    <row r="50" spans="1:11">
      <c r="A50" s="6">
        <v>36</v>
      </c>
      <c r="B50" s="4" t="s">
        <v>52</v>
      </c>
      <c r="C50" s="4" t="s">
        <v>417</v>
      </c>
      <c r="D50" s="5" t="s">
        <v>428</v>
      </c>
      <c r="E50" s="6">
        <v>1</v>
      </c>
      <c r="F50" s="142">
        <v>414000</v>
      </c>
      <c r="G50" s="147">
        <v>455000</v>
      </c>
      <c r="H50" s="42">
        <v>443000</v>
      </c>
      <c r="I50" s="87">
        <f t="shared" si="0"/>
        <v>414000</v>
      </c>
      <c r="J50" s="37">
        <f t="shared" si="1"/>
        <v>414000</v>
      </c>
      <c r="K50" s="6"/>
    </row>
    <row r="51" spans="1:11" ht="31.5">
      <c r="A51" s="6">
        <v>37</v>
      </c>
      <c r="B51" s="14" t="s">
        <v>54</v>
      </c>
      <c r="C51" s="14" t="s">
        <v>11</v>
      </c>
      <c r="D51" s="18" t="s">
        <v>15</v>
      </c>
      <c r="E51" s="91">
        <v>1</v>
      </c>
      <c r="F51" s="143">
        <v>3973000</v>
      </c>
      <c r="G51" s="148">
        <v>4370000</v>
      </c>
      <c r="H51" s="43">
        <v>4251000</v>
      </c>
      <c r="I51" s="87">
        <f t="shared" si="0"/>
        <v>3973000</v>
      </c>
      <c r="J51" s="37">
        <f t="shared" si="1"/>
        <v>3973000</v>
      </c>
      <c r="K51" s="10" t="s">
        <v>13</v>
      </c>
    </row>
    <row r="52" spans="1:11">
      <c r="A52" s="6">
        <v>38</v>
      </c>
      <c r="B52" s="4" t="s">
        <v>55</v>
      </c>
      <c r="C52" s="4" t="s">
        <v>66</v>
      </c>
      <c r="D52" s="5" t="s">
        <v>15</v>
      </c>
      <c r="E52" s="6">
        <v>1</v>
      </c>
      <c r="F52" s="142">
        <v>847000</v>
      </c>
      <c r="G52" s="147">
        <v>932000</v>
      </c>
      <c r="H52" s="42">
        <v>906000</v>
      </c>
      <c r="I52" s="87">
        <f t="shared" si="0"/>
        <v>847000</v>
      </c>
      <c r="J52" s="37">
        <f t="shared" si="1"/>
        <v>847000</v>
      </c>
      <c r="K52" s="6"/>
    </row>
    <row r="53" spans="1:11">
      <c r="A53" s="6">
        <v>39</v>
      </c>
      <c r="B53" s="14" t="s">
        <v>56</v>
      </c>
      <c r="C53" s="14" t="s">
        <v>66</v>
      </c>
      <c r="D53" s="18" t="s">
        <v>429</v>
      </c>
      <c r="E53" s="61">
        <v>1</v>
      </c>
      <c r="F53" s="142">
        <v>158000</v>
      </c>
      <c r="G53" s="147">
        <v>174000</v>
      </c>
      <c r="H53" s="42">
        <v>169000</v>
      </c>
      <c r="I53" s="87">
        <f t="shared" si="0"/>
        <v>158000</v>
      </c>
      <c r="J53" s="37">
        <f t="shared" si="1"/>
        <v>158000</v>
      </c>
      <c r="K53" s="6"/>
    </row>
    <row r="54" spans="1:11">
      <c r="A54" s="6">
        <v>40</v>
      </c>
      <c r="B54" s="4" t="s">
        <v>57</v>
      </c>
      <c r="C54" s="4" t="s">
        <v>17</v>
      </c>
      <c r="D54" s="5" t="s">
        <v>27</v>
      </c>
      <c r="E54" s="6">
        <v>1</v>
      </c>
      <c r="F54" s="142">
        <v>3225000</v>
      </c>
      <c r="G54" s="147">
        <v>3548000</v>
      </c>
      <c r="H54" s="42">
        <v>3451000</v>
      </c>
      <c r="I54" s="87">
        <f t="shared" si="0"/>
        <v>3225000</v>
      </c>
      <c r="J54" s="37">
        <f t="shared" si="1"/>
        <v>3225000</v>
      </c>
      <c r="K54" s="6"/>
    </row>
    <row r="55" spans="1:11">
      <c r="A55" s="6">
        <v>41</v>
      </c>
      <c r="B55" s="5" t="s">
        <v>58</v>
      </c>
      <c r="C55" s="4" t="s">
        <v>17</v>
      </c>
      <c r="D55" s="5" t="s">
        <v>24</v>
      </c>
      <c r="E55" s="6">
        <v>1</v>
      </c>
      <c r="F55" s="143">
        <v>2197000</v>
      </c>
      <c r="G55" s="148">
        <v>2417000</v>
      </c>
      <c r="H55" s="43">
        <v>2351000</v>
      </c>
      <c r="I55" s="87">
        <f t="shared" si="0"/>
        <v>2197000</v>
      </c>
      <c r="J55" s="37">
        <f t="shared" si="1"/>
        <v>2197000</v>
      </c>
      <c r="K55" s="92"/>
    </row>
    <row r="56" spans="1:11">
      <c r="A56" s="6">
        <v>42</v>
      </c>
      <c r="B56" s="4" t="s">
        <v>59</v>
      </c>
      <c r="C56" s="4" t="s">
        <v>17</v>
      </c>
      <c r="D56" s="5" t="s">
        <v>24</v>
      </c>
      <c r="E56" s="6">
        <v>1</v>
      </c>
      <c r="F56" s="142">
        <v>715000</v>
      </c>
      <c r="G56" s="147">
        <v>787000</v>
      </c>
      <c r="H56" s="42">
        <v>765000</v>
      </c>
      <c r="I56" s="87">
        <f t="shared" si="0"/>
        <v>715000</v>
      </c>
      <c r="J56" s="37">
        <f t="shared" si="1"/>
        <v>715000</v>
      </c>
      <c r="K56" s="6" t="s">
        <v>13</v>
      </c>
    </row>
    <row r="57" spans="1:11">
      <c r="A57" s="6">
        <v>43</v>
      </c>
      <c r="B57" s="5" t="s">
        <v>394</v>
      </c>
      <c r="C57" s="4" t="s">
        <v>26</v>
      </c>
      <c r="D57" s="5" t="s">
        <v>436</v>
      </c>
      <c r="E57" s="6">
        <v>1</v>
      </c>
      <c r="F57" s="143">
        <v>1102000</v>
      </c>
      <c r="G57" s="148">
        <v>1212000</v>
      </c>
      <c r="H57" s="42">
        <v>1179000</v>
      </c>
      <c r="I57" s="87">
        <f t="shared" si="0"/>
        <v>1102000</v>
      </c>
      <c r="J57" s="37">
        <f t="shared" si="1"/>
        <v>1102000</v>
      </c>
      <c r="K57" s="10" t="s">
        <v>13</v>
      </c>
    </row>
    <row r="58" spans="1:11">
      <c r="A58" s="6">
        <v>44</v>
      </c>
      <c r="B58" s="8" t="s">
        <v>60</v>
      </c>
      <c r="C58" s="8" t="s">
        <v>17</v>
      </c>
      <c r="D58" s="9" t="s">
        <v>22</v>
      </c>
      <c r="E58" s="10">
        <v>2</v>
      </c>
      <c r="F58" s="143">
        <v>1111000</v>
      </c>
      <c r="G58" s="147">
        <v>1222000</v>
      </c>
      <c r="H58" s="42">
        <v>1189000</v>
      </c>
      <c r="I58" s="87">
        <f t="shared" si="0"/>
        <v>1111000</v>
      </c>
      <c r="J58" s="37">
        <f t="shared" si="1"/>
        <v>2222000</v>
      </c>
      <c r="K58" s="10" t="s">
        <v>13</v>
      </c>
    </row>
    <row r="59" spans="1:11">
      <c r="A59" s="6">
        <v>45</v>
      </c>
      <c r="B59" s="8" t="s">
        <v>395</v>
      </c>
      <c r="C59" s="8" t="s">
        <v>17</v>
      </c>
      <c r="D59" s="9" t="s">
        <v>27</v>
      </c>
      <c r="E59" s="10">
        <v>1</v>
      </c>
      <c r="F59" s="142">
        <v>1061000</v>
      </c>
      <c r="G59" s="147">
        <v>1167000</v>
      </c>
      <c r="H59" s="42">
        <v>1135000</v>
      </c>
      <c r="I59" s="87">
        <f t="shared" si="0"/>
        <v>1061000</v>
      </c>
      <c r="J59" s="37">
        <f t="shared" si="1"/>
        <v>1061000</v>
      </c>
      <c r="K59" s="6" t="s">
        <v>13</v>
      </c>
    </row>
    <row r="60" spans="1:11">
      <c r="A60" s="6">
        <v>46</v>
      </c>
      <c r="B60" s="4" t="s">
        <v>61</v>
      </c>
      <c r="C60" s="4" t="s">
        <v>417</v>
      </c>
      <c r="D60" s="9" t="s">
        <v>428</v>
      </c>
      <c r="E60" s="6">
        <v>2</v>
      </c>
      <c r="F60" s="142">
        <v>6438000</v>
      </c>
      <c r="G60" s="147">
        <v>7082000</v>
      </c>
      <c r="H60" s="42">
        <v>6889000</v>
      </c>
      <c r="I60" s="87">
        <f t="shared" si="0"/>
        <v>6438000</v>
      </c>
      <c r="J60" s="37">
        <f t="shared" si="1"/>
        <v>12876000</v>
      </c>
      <c r="K60" s="6"/>
    </row>
    <row r="61" spans="1:11">
      <c r="A61" s="6">
        <v>47</v>
      </c>
      <c r="B61" s="4" t="s">
        <v>62</v>
      </c>
      <c r="C61" s="4" t="s">
        <v>17</v>
      </c>
      <c r="D61" s="5" t="s">
        <v>27</v>
      </c>
      <c r="E61" s="6">
        <v>1</v>
      </c>
      <c r="F61" s="143">
        <v>1750000</v>
      </c>
      <c r="G61" s="147">
        <v>1925000</v>
      </c>
      <c r="H61" s="42">
        <v>1873000</v>
      </c>
      <c r="I61" s="87">
        <f t="shared" si="0"/>
        <v>1750000</v>
      </c>
      <c r="J61" s="37">
        <f t="shared" si="1"/>
        <v>1750000</v>
      </c>
      <c r="K61" s="10"/>
    </row>
    <row r="62" spans="1:11">
      <c r="A62" s="6">
        <v>48</v>
      </c>
      <c r="B62" s="14" t="s">
        <v>63</v>
      </c>
      <c r="C62" s="14" t="s">
        <v>66</v>
      </c>
      <c r="D62" s="18" t="s">
        <v>424</v>
      </c>
      <c r="E62" s="61">
        <v>1</v>
      </c>
      <c r="F62" s="145">
        <v>638000</v>
      </c>
      <c r="G62" s="147">
        <v>702000</v>
      </c>
      <c r="H62" s="42">
        <v>683000</v>
      </c>
      <c r="I62" s="87">
        <f t="shared" si="0"/>
        <v>638000</v>
      </c>
      <c r="J62" s="37">
        <f t="shared" si="1"/>
        <v>638000</v>
      </c>
      <c r="K62" s="27"/>
    </row>
    <row r="63" spans="1:11">
      <c r="A63" s="6">
        <v>49</v>
      </c>
      <c r="B63" s="8" t="s">
        <v>64</v>
      </c>
      <c r="C63" s="8" t="s">
        <v>26</v>
      </c>
      <c r="D63" s="9" t="s">
        <v>428</v>
      </c>
      <c r="E63" s="10">
        <v>1</v>
      </c>
      <c r="F63" s="145">
        <v>643000</v>
      </c>
      <c r="G63" s="147">
        <v>707000</v>
      </c>
      <c r="H63" s="42">
        <v>688000</v>
      </c>
      <c r="I63" s="87">
        <f t="shared" si="0"/>
        <v>643000</v>
      </c>
      <c r="J63" s="37">
        <f t="shared" si="1"/>
        <v>643000</v>
      </c>
      <c r="K63" s="27"/>
    </row>
    <row r="64" spans="1:11">
      <c r="A64" s="6">
        <v>50</v>
      </c>
      <c r="B64" s="4" t="s">
        <v>65</v>
      </c>
      <c r="C64" s="4" t="s">
        <v>417</v>
      </c>
      <c r="D64" s="5" t="s">
        <v>426</v>
      </c>
      <c r="E64" s="6">
        <v>1</v>
      </c>
      <c r="F64" s="145">
        <v>1914000</v>
      </c>
      <c r="G64" s="147">
        <v>2105000</v>
      </c>
      <c r="H64" s="42">
        <v>2048000</v>
      </c>
      <c r="I64" s="87">
        <f t="shared" si="0"/>
        <v>1914000</v>
      </c>
      <c r="J64" s="37">
        <f t="shared" si="1"/>
        <v>1914000</v>
      </c>
      <c r="K64" s="27"/>
    </row>
    <row r="65" spans="1:11">
      <c r="A65" s="6">
        <v>51</v>
      </c>
      <c r="B65" s="4" t="s">
        <v>396</v>
      </c>
      <c r="C65" s="4" t="s">
        <v>26</v>
      </c>
      <c r="D65" s="5" t="s">
        <v>428</v>
      </c>
      <c r="E65" s="6">
        <v>1</v>
      </c>
      <c r="F65" s="145">
        <v>789000</v>
      </c>
      <c r="G65" s="150">
        <v>868000</v>
      </c>
      <c r="H65" s="42">
        <v>844000</v>
      </c>
      <c r="I65" s="87">
        <f t="shared" si="0"/>
        <v>789000</v>
      </c>
      <c r="J65" s="37">
        <f t="shared" si="1"/>
        <v>789000</v>
      </c>
      <c r="K65" s="27"/>
    </row>
    <row r="66" spans="1:11">
      <c r="A66" s="6">
        <v>52</v>
      </c>
      <c r="B66" s="4" t="s">
        <v>67</v>
      </c>
      <c r="C66" s="4" t="s">
        <v>66</v>
      </c>
      <c r="D66" s="5" t="s">
        <v>421</v>
      </c>
      <c r="E66" s="6">
        <v>1</v>
      </c>
      <c r="F66" s="145">
        <v>348000</v>
      </c>
      <c r="G66" s="150">
        <v>383000</v>
      </c>
      <c r="H66" s="42">
        <v>372000</v>
      </c>
      <c r="I66" s="87">
        <f t="shared" si="0"/>
        <v>348000</v>
      </c>
      <c r="J66" s="37">
        <f t="shared" si="1"/>
        <v>348000</v>
      </c>
      <c r="K66" s="27"/>
    </row>
    <row r="67" spans="1:11">
      <c r="A67" s="6">
        <v>53</v>
      </c>
      <c r="B67" s="8" t="s">
        <v>68</v>
      </c>
      <c r="C67" s="8" t="s">
        <v>26</v>
      </c>
      <c r="D67" s="9" t="s">
        <v>428</v>
      </c>
      <c r="E67" s="10">
        <v>2</v>
      </c>
      <c r="F67" s="145">
        <v>754000</v>
      </c>
      <c r="G67" s="150">
        <v>829000</v>
      </c>
      <c r="H67" s="62">
        <v>807000</v>
      </c>
      <c r="I67" s="87">
        <f t="shared" si="0"/>
        <v>754000</v>
      </c>
      <c r="J67" s="37">
        <f t="shared" si="1"/>
        <v>1508000</v>
      </c>
      <c r="K67" s="27"/>
    </row>
    <row r="68" spans="1:11">
      <c r="A68" s="6">
        <v>54</v>
      </c>
      <c r="B68" s="4" t="s">
        <v>69</v>
      </c>
      <c r="C68" s="4" t="s">
        <v>17</v>
      </c>
      <c r="D68" s="5" t="s">
        <v>27</v>
      </c>
      <c r="E68" s="6">
        <v>1</v>
      </c>
      <c r="F68" s="145">
        <v>898000</v>
      </c>
      <c r="G68" s="150">
        <v>988000</v>
      </c>
      <c r="H68" s="62">
        <v>961000</v>
      </c>
      <c r="I68" s="87">
        <f t="shared" si="0"/>
        <v>898000</v>
      </c>
      <c r="J68" s="37">
        <f t="shared" si="1"/>
        <v>898000</v>
      </c>
      <c r="K68" s="27"/>
    </row>
    <row r="69" spans="1:11">
      <c r="A69" s="6">
        <v>55</v>
      </c>
      <c r="B69" s="8" t="s">
        <v>457</v>
      </c>
      <c r="C69" s="8" t="s">
        <v>17</v>
      </c>
      <c r="D69" s="9" t="s">
        <v>428</v>
      </c>
      <c r="E69" s="10">
        <v>2</v>
      </c>
      <c r="F69" s="145">
        <v>2778000</v>
      </c>
      <c r="G69" s="150">
        <v>3056000</v>
      </c>
      <c r="H69" s="62">
        <v>2972000</v>
      </c>
      <c r="I69" s="87">
        <f t="shared" si="0"/>
        <v>2778000</v>
      </c>
      <c r="J69" s="37">
        <f t="shared" si="1"/>
        <v>5556000</v>
      </c>
      <c r="K69" s="27"/>
    </row>
    <row r="70" spans="1:11">
      <c r="A70" s="6">
        <v>56</v>
      </c>
      <c r="B70" s="4" t="s">
        <v>70</v>
      </c>
      <c r="C70" s="4" t="s">
        <v>417</v>
      </c>
      <c r="D70" s="5" t="s">
        <v>426</v>
      </c>
      <c r="E70" s="6">
        <v>1</v>
      </c>
      <c r="F70" s="145">
        <v>812000</v>
      </c>
      <c r="G70" s="150">
        <v>893000</v>
      </c>
      <c r="H70" s="62">
        <v>869000</v>
      </c>
      <c r="I70" s="87">
        <f t="shared" si="0"/>
        <v>812000</v>
      </c>
      <c r="J70" s="37">
        <f t="shared" si="1"/>
        <v>812000</v>
      </c>
      <c r="K70" s="27"/>
    </row>
    <row r="71" spans="1:11">
      <c r="A71" s="6">
        <v>57</v>
      </c>
      <c r="B71" s="93" t="s">
        <v>71</v>
      </c>
      <c r="C71" s="93" t="s">
        <v>26</v>
      </c>
      <c r="D71" s="9" t="s">
        <v>428</v>
      </c>
      <c r="E71" s="10">
        <v>2</v>
      </c>
      <c r="F71" s="145">
        <v>499000</v>
      </c>
      <c r="G71" s="150">
        <v>549000</v>
      </c>
      <c r="H71" s="62">
        <v>534000</v>
      </c>
      <c r="I71" s="87">
        <f t="shared" si="0"/>
        <v>499000</v>
      </c>
      <c r="J71" s="37">
        <f t="shared" si="1"/>
        <v>998000</v>
      </c>
      <c r="K71" s="27"/>
    </row>
    <row r="72" spans="1:11">
      <c r="A72" s="6">
        <v>58</v>
      </c>
      <c r="B72" s="94" t="s">
        <v>397</v>
      </c>
      <c r="C72" s="4" t="s">
        <v>437</v>
      </c>
      <c r="D72" s="5" t="s">
        <v>421</v>
      </c>
      <c r="E72" s="95">
        <v>1</v>
      </c>
      <c r="F72" s="145">
        <v>261000</v>
      </c>
      <c r="G72" s="150">
        <v>287000</v>
      </c>
      <c r="H72" s="62">
        <v>279000</v>
      </c>
      <c r="I72" s="87">
        <f t="shared" si="0"/>
        <v>261000</v>
      </c>
      <c r="J72" s="37">
        <f t="shared" si="1"/>
        <v>261000</v>
      </c>
      <c r="K72" s="27"/>
    </row>
    <row r="73" spans="1:11">
      <c r="A73" s="6">
        <v>59</v>
      </c>
      <c r="B73" s="5" t="s">
        <v>398</v>
      </c>
      <c r="C73" s="4" t="s">
        <v>17</v>
      </c>
      <c r="D73" s="5" t="s">
        <v>422</v>
      </c>
      <c r="E73" s="6">
        <v>1</v>
      </c>
      <c r="F73" s="145">
        <v>3030000</v>
      </c>
      <c r="G73" s="150">
        <v>3333000</v>
      </c>
      <c r="H73" s="62">
        <v>3242000</v>
      </c>
      <c r="I73" s="87">
        <f t="shared" si="0"/>
        <v>3030000</v>
      </c>
      <c r="J73" s="37">
        <f t="shared" si="1"/>
        <v>3030000</v>
      </c>
      <c r="K73" s="27"/>
    </row>
    <row r="74" spans="1:11">
      <c r="A74" s="6">
        <v>60</v>
      </c>
      <c r="B74" s="8" t="s">
        <v>73</v>
      </c>
      <c r="C74" s="8" t="s">
        <v>417</v>
      </c>
      <c r="D74" s="9" t="s">
        <v>426</v>
      </c>
      <c r="E74" s="10">
        <v>2</v>
      </c>
      <c r="F74" s="145">
        <v>829000</v>
      </c>
      <c r="G74" s="150">
        <v>912000</v>
      </c>
      <c r="H74" s="62">
        <v>887000</v>
      </c>
      <c r="I74" s="87">
        <f t="shared" si="0"/>
        <v>829000</v>
      </c>
      <c r="J74" s="37">
        <f t="shared" si="1"/>
        <v>1658000</v>
      </c>
      <c r="K74" s="27"/>
    </row>
    <row r="75" spans="1:11">
      <c r="A75" s="6">
        <v>61</v>
      </c>
      <c r="B75" s="4" t="s">
        <v>399</v>
      </c>
      <c r="C75" s="4" t="s">
        <v>66</v>
      </c>
      <c r="D75" s="5" t="s">
        <v>421</v>
      </c>
      <c r="E75" s="6">
        <v>1</v>
      </c>
      <c r="F75" s="145">
        <v>742000</v>
      </c>
      <c r="G75" s="150">
        <v>816000</v>
      </c>
      <c r="H75" s="62">
        <v>794000</v>
      </c>
      <c r="I75" s="87">
        <f t="shared" si="0"/>
        <v>742000</v>
      </c>
      <c r="J75" s="37">
        <f t="shared" si="1"/>
        <v>742000</v>
      </c>
      <c r="K75" s="27"/>
    </row>
    <row r="76" spans="1:11">
      <c r="A76" s="6">
        <v>62</v>
      </c>
      <c r="B76" s="96" t="s">
        <v>400</v>
      </c>
      <c r="C76" s="94" t="s">
        <v>26</v>
      </c>
      <c r="D76" s="5" t="s">
        <v>428</v>
      </c>
      <c r="E76" s="6">
        <v>1</v>
      </c>
      <c r="F76" s="145">
        <v>766000</v>
      </c>
      <c r="G76" s="150">
        <v>843000</v>
      </c>
      <c r="H76" s="62">
        <v>820000</v>
      </c>
      <c r="I76" s="87">
        <f t="shared" si="0"/>
        <v>766000</v>
      </c>
      <c r="J76" s="37">
        <f t="shared" si="1"/>
        <v>766000</v>
      </c>
      <c r="K76" s="27"/>
    </row>
    <row r="77" spans="1:11">
      <c r="A77" s="6">
        <v>63</v>
      </c>
      <c r="B77" s="4" t="s">
        <v>74</v>
      </c>
      <c r="C77" s="4" t="s">
        <v>66</v>
      </c>
      <c r="D77" s="9" t="s">
        <v>428</v>
      </c>
      <c r="E77" s="6">
        <v>1</v>
      </c>
      <c r="F77" s="145">
        <v>302000</v>
      </c>
      <c r="G77" s="150">
        <v>332000</v>
      </c>
      <c r="H77" s="62">
        <v>323000</v>
      </c>
      <c r="I77" s="87">
        <f t="shared" si="0"/>
        <v>302000</v>
      </c>
      <c r="J77" s="37">
        <f t="shared" si="1"/>
        <v>302000</v>
      </c>
      <c r="K77" s="27"/>
    </row>
    <row r="78" spans="1:11">
      <c r="A78" s="6">
        <v>64</v>
      </c>
      <c r="B78" s="4" t="s">
        <v>401</v>
      </c>
      <c r="C78" s="97" t="s">
        <v>26</v>
      </c>
      <c r="D78" s="97" t="s">
        <v>428</v>
      </c>
      <c r="E78" s="98">
        <v>1</v>
      </c>
      <c r="F78" s="145">
        <v>696000</v>
      </c>
      <c r="G78" s="150">
        <v>766000</v>
      </c>
      <c r="H78" s="62">
        <v>745000</v>
      </c>
      <c r="I78" s="87">
        <f t="shared" si="0"/>
        <v>696000</v>
      </c>
      <c r="J78" s="37">
        <f t="shared" si="1"/>
        <v>696000</v>
      </c>
      <c r="K78" s="27"/>
    </row>
    <row r="79" spans="1:11" ht="31.5">
      <c r="A79" s="6">
        <v>65</v>
      </c>
      <c r="B79" s="14" t="s">
        <v>75</v>
      </c>
      <c r="C79" s="18" t="s">
        <v>38</v>
      </c>
      <c r="D79" s="18" t="s">
        <v>458</v>
      </c>
      <c r="E79" s="61">
        <v>1</v>
      </c>
      <c r="F79" s="145">
        <v>2726000</v>
      </c>
      <c r="G79" s="150">
        <v>2999000</v>
      </c>
      <c r="H79" s="62">
        <v>2917000</v>
      </c>
      <c r="I79" s="62">
        <f t="shared" ref="I79:I82" si="2">MIN(F79:H79)</f>
        <v>2726000</v>
      </c>
      <c r="J79" s="37">
        <f t="shared" ref="J79:J82" si="3">E79*I79</f>
        <v>2726000</v>
      </c>
      <c r="K79" s="27"/>
    </row>
    <row r="80" spans="1:11">
      <c r="A80" s="6">
        <v>66</v>
      </c>
      <c r="B80" s="4" t="s">
        <v>76</v>
      </c>
      <c r="C80" s="4" t="s">
        <v>66</v>
      </c>
      <c r="D80" s="5" t="s">
        <v>422</v>
      </c>
      <c r="E80" s="6">
        <v>1</v>
      </c>
      <c r="F80" s="145">
        <v>575000</v>
      </c>
      <c r="G80" s="150">
        <v>633000</v>
      </c>
      <c r="H80" s="62">
        <v>615000</v>
      </c>
      <c r="I80" s="87">
        <f t="shared" si="2"/>
        <v>575000</v>
      </c>
      <c r="J80" s="37">
        <f t="shared" si="3"/>
        <v>575000</v>
      </c>
      <c r="K80" s="27"/>
    </row>
    <row r="81" spans="1:11">
      <c r="A81" s="6">
        <v>67</v>
      </c>
      <c r="B81" s="4" t="s">
        <v>77</v>
      </c>
      <c r="C81" s="4" t="s">
        <v>66</v>
      </c>
      <c r="D81" s="5" t="s">
        <v>421</v>
      </c>
      <c r="E81" s="6">
        <v>1</v>
      </c>
      <c r="F81" s="145">
        <v>974000</v>
      </c>
      <c r="G81" s="150">
        <v>1071000</v>
      </c>
      <c r="H81" s="62">
        <v>1042000</v>
      </c>
      <c r="I81" s="87">
        <f t="shared" si="2"/>
        <v>974000</v>
      </c>
      <c r="J81" s="37">
        <f t="shared" si="3"/>
        <v>974000</v>
      </c>
      <c r="K81" s="27"/>
    </row>
    <row r="82" spans="1:11">
      <c r="A82" s="44">
        <v>68</v>
      </c>
      <c r="B82" s="183" t="s">
        <v>78</v>
      </c>
      <c r="C82" s="183" t="s">
        <v>66</v>
      </c>
      <c r="D82" s="184" t="s">
        <v>422</v>
      </c>
      <c r="E82" s="44">
        <v>1</v>
      </c>
      <c r="F82" s="185">
        <v>715000</v>
      </c>
      <c r="G82" s="186">
        <v>787000</v>
      </c>
      <c r="H82" s="140">
        <v>765000</v>
      </c>
      <c r="I82" s="187">
        <f t="shared" si="2"/>
        <v>715000</v>
      </c>
      <c r="J82" s="188">
        <f t="shared" si="3"/>
        <v>715000</v>
      </c>
      <c r="K82" s="29"/>
    </row>
    <row r="83" spans="1:11">
      <c r="A83" s="30"/>
      <c r="B83" s="99" t="s">
        <v>72</v>
      </c>
      <c r="C83" s="99"/>
      <c r="D83" s="99"/>
      <c r="E83" s="99"/>
      <c r="F83" s="99"/>
      <c r="G83" s="99"/>
      <c r="H83" s="99"/>
      <c r="I83" s="100"/>
      <c r="J83" s="69">
        <f>SUM(J15:J82)</f>
        <v>99918000</v>
      </c>
      <c r="K83" s="101"/>
    </row>
    <row r="84" spans="1:11" s="211" customFormat="1">
      <c r="A84" s="204"/>
      <c r="B84" s="205"/>
      <c r="C84" s="205"/>
      <c r="D84" s="205"/>
      <c r="E84" s="205"/>
      <c r="F84" s="205"/>
      <c r="G84" s="205"/>
      <c r="H84" s="205"/>
      <c r="I84" s="206"/>
      <c r="J84" s="207"/>
      <c r="K84" s="208"/>
    </row>
    <row r="85" spans="1:11" s="211" customFormat="1">
      <c r="A85" s="204"/>
      <c r="B85" s="205"/>
      <c r="C85" s="205"/>
      <c r="D85" s="205"/>
      <c r="E85" s="205"/>
      <c r="F85" s="205"/>
      <c r="G85" s="205"/>
      <c r="H85" s="205"/>
      <c r="I85" s="206"/>
      <c r="J85" s="207"/>
      <c r="K85" s="208"/>
    </row>
    <row r="86" spans="1:11" s="211" customFormat="1">
      <c r="A86" s="204"/>
      <c r="B86" s="205"/>
      <c r="C86" s="205"/>
      <c r="D86" s="205"/>
      <c r="E86" s="205"/>
      <c r="F86" s="205"/>
      <c r="G86" s="205"/>
      <c r="H86" s="205"/>
      <c r="I86" s="206"/>
      <c r="J86" s="207"/>
      <c r="K86" s="208"/>
    </row>
    <row r="87" spans="1:11" s="211" customFormat="1">
      <c r="A87" s="204"/>
      <c r="B87" s="205"/>
      <c r="C87" s="205"/>
      <c r="D87" s="205"/>
      <c r="E87" s="205"/>
      <c r="F87" s="205"/>
      <c r="G87" s="205"/>
      <c r="H87" s="205"/>
      <c r="I87" s="206"/>
      <c r="J87" s="207"/>
      <c r="K87" s="208"/>
    </row>
    <row r="88" spans="1:11" s="211" customFormat="1">
      <c r="A88" s="204"/>
      <c r="B88" s="205"/>
      <c r="C88" s="205"/>
      <c r="D88" s="205"/>
      <c r="E88" s="205"/>
      <c r="F88" s="205"/>
      <c r="G88" s="205"/>
      <c r="H88" s="205"/>
      <c r="I88" s="206"/>
      <c r="J88" s="207"/>
      <c r="K88" s="208"/>
    </row>
    <row r="89" spans="1:11" s="211" customFormat="1">
      <c r="A89" s="204"/>
      <c r="B89" s="205"/>
      <c r="C89" s="205"/>
      <c r="D89" s="205"/>
      <c r="E89" s="205"/>
      <c r="F89" s="205"/>
      <c r="G89" s="205"/>
      <c r="H89" s="205"/>
      <c r="I89" s="206"/>
      <c r="J89" s="207"/>
      <c r="K89" s="208"/>
    </row>
    <row r="90" spans="1:11" s="211" customFormat="1">
      <c r="A90" s="204"/>
      <c r="B90" s="205"/>
      <c r="C90" s="205"/>
      <c r="D90" s="205"/>
      <c r="E90" s="205"/>
      <c r="F90" s="205"/>
      <c r="G90" s="205"/>
      <c r="H90" s="205"/>
      <c r="I90" s="206"/>
      <c r="J90" s="207"/>
      <c r="K90" s="208"/>
    </row>
    <row r="91" spans="1:11" s="84" customFormat="1" ht="19.5" customHeight="1">
      <c r="A91" s="204"/>
      <c r="B91" s="205"/>
      <c r="C91" s="205"/>
      <c r="D91" s="205"/>
      <c r="E91" s="205"/>
      <c r="F91" s="205"/>
      <c r="G91" s="205"/>
      <c r="H91" s="205"/>
      <c r="I91" s="206"/>
      <c r="J91" s="207"/>
      <c r="K91" s="208"/>
    </row>
    <row r="93" spans="1:11">
      <c r="A93" s="229" t="s">
        <v>79</v>
      </c>
      <c r="B93" s="230"/>
      <c r="C93" s="230"/>
      <c r="D93" s="230"/>
      <c r="E93" s="230"/>
      <c r="F93" s="230"/>
      <c r="G93" s="230"/>
      <c r="H93" s="230"/>
      <c r="I93" s="230"/>
      <c r="J93" s="230"/>
      <c r="K93" s="230"/>
    </row>
    <row r="94" spans="1:11">
      <c r="A94" s="245" t="s">
        <v>2</v>
      </c>
      <c r="B94" s="245" t="s">
        <v>7</v>
      </c>
      <c r="C94" s="245" t="s">
        <v>413</v>
      </c>
      <c r="D94" s="245" t="s">
        <v>8</v>
      </c>
      <c r="E94" s="245" t="s">
        <v>414</v>
      </c>
      <c r="F94" s="239" t="s">
        <v>468</v>
      </c>
      <c r="G94" s="239"/>
      <c r="H94" s="239"/>
      <c r="I94" s="240" t="s">
        <v>415</v>
      </c>
      <c r="J94" s="242" t="s">
        <v>10</v>
      </c>
      <c r="K94" s="242" t="s">
        <v>4</v>
      </c>
    </row>
    <row r="95" spans="1:11" ht="63">
      <c r="A95" s="246"/>
      <c r="B95" s="246"/>
      <c r="C95" s="246"/>
      <c r="D95" s="246"/>
      <c r="E95" s="246"/>
      <c r="F95" s="189" t="s">
        <v>434</v>
      </c>
      <c r="G95" s="190" t="s">
        <v>443</v>
      </c>
      <c r="H95" s="191" t="s">
        <v>446</v>
      </c>
      <c r="I95" s="241"/>
      <c r="J95" s="243" t="s">
        <v>10</v>
      </c>
      <c r="K95" s="243" t="s">
        <v>4</v>
      </c>
    </row>
    <row r="96" spans="1:11" ht="31.5">
      <c r="A96" s="102">
        <v>1</v>
      </c>
      <c r="B96" s="103" t="s">
        <v>80</v>
      </c>
      <c r="C96" s="41" t="s">
        <v>66</v>
      </c>
      <c r="D96" s="32" t="s">
        <v>421</v>
      </c>
      <c r="E96" s="102">
        <v>1</v>
      </c>
      <c r="F96" s="151">
        <v>1039000</v>
      </c>
      <c r="G96" s="155">
        <v>1143000</v>
      </c>
      <c r="H96" s="104">
        <v>1112000</v>
      </c>
      <c r="I96" s="105">
        <f t="shared" ref="I96:I148" si="4">MIN(F96:H96)</f>
        <v>1039000</v>
      </c>
      <c r="J96" s="106">
        <f t="shared" ref="J96:J148" si="5">E96*I96</f>
        <v>1039000</v>
      </c>
      <c r="K96" s="107"/>
    </row>
    <row r="97" spans="1:11">
      <c r="A97" s="27">
        <v>2</v>
      </c>
      <c r="B97" s="9" t="s">
        <v>81</v>
      </c>
      <c r="C97" s="9" t="s">
        <v>26</v>
      </c>
      <c r="D97" s="9" t="s">
        <v>82</v>
      </c>
      <c r="E97" s="10">
        <v>3</v>
      </c>
      <c r="F97" s="143">
        <v>371000</v>
      </c>
      <c r="G97" s="148">
        <v>408000</v>
      </c>
      <c r="H97" s="43">
        <v>397000</v>
      </c>
      <c r="I97" s="38">
        <f t="shared" si="4"/>
        <v>371000</v>
      </c>
      <c r="J97" s="39">
        <f t="shared" si="5"/>
        <v>1113000</v>
      </c>
      <c r="K97" s="10"/>
    </row>
    <row r="98" spans="1:11">
      <c r="A98" s="27">
        <v>3</v>
      </c>
      <c r="B98" s="9" t="s">
        <v>402</v>
      </c>
      <c r="C98" s="9" t="s">
        <v>417</v>
      </c>
      <c r="D98" s="9" t="s">
        <v>430</v>
      </c>
      <c r="E98" s="10">
        <v>5</v>
      </c>
      <c r="F98" s="143">
        <v>1163000</v>
      </c>
      <c r="G98" s="148">
        <v>1279000</v>
      </c>
      <c r="H98" s="43">
        <v>1244000</v>
      </c>
      <c r="I98" s="38">
        <f t="shared" si="4"/>
        <v>1163000</v>
      </c>
      <c r="J98" s="39">
        <f t="shared" si="5"/>
        <v>5815000</v>
      </c>
      <c r="K98" s="10"/>
    </row>
    <row r="99" spans="1:11">
      <c r="A99" s="27">
        <v>4</v>
      </c>
      <c r="B99" s="9" t="s">
        <v>83</v>
      </c>
      <c r="C99" s="9" t="s">
        <v>26</v>
      </c>
      <c r="D99" s="9" t="s">
        <v>82</v>
      </c>
      <c r="E99" s="10">
        <v>2</v>
      </c>
      <c r="F99" s="143">
        <v>383000</v>
      </c>
      <c r="G99" s="148">
        <v>421000</v>
      </c>
      <c r="H99" s="43">
        <v>410000</v>
      </c>
      <c r="I99" s="38">
        <f t="shared" si="4"/>
        <v>383000</v>
      </c>
      <c r="J99" s="39">
        <f t="shared" si="5"/>
        <v>766000</v>
      </c>
      <c r="K99" s="10"/>
    </row>
    <row r="100" spans="1:11">
      <c r="A100" s="27">
        <v>5</v>
      </c>
      <c r="B100" s="9" t="s">
        <v>85</v>
      </c>
      <c r="C100" s="9" t="s">
        <v>417</v>
      </c>
      <c r="D100" s="9" t="s">
        <v>82</v>
      </c>
      <c r="E100" s="10">
        <v>5</v>
      </c>
      <c r="F100" s="142">
        <v>603000</v>
      </c>
      <c r="G100" s="147">
        <v>663000</v>
      </c>
      <c r="H100" s="42">
        <v>645000</v>
      </c>
      <c r="I100" s="38">
        <f t="shared" si="4"/>
        <v>603000</v>
      </c>
      <c r="J100" s="39">
        <f t="shared" si="5"/>
        <v>3015000</v>
      </c>
      <c r="K100" s="6"/>
    </row>
    <row r="101" spans="1:11">
      <c r="A101" s="27">
        <v>6</v>
      </c>
      <c r="B101" s="9" t="s">
        <v>86</v>
      </c>
      <c r="C101" s="9" t="s">
        <v>417</v>
      </c>
      <c r="D101" s="9" t="s">
        <v>49</v>
      </c>
      <c r="E101" s="10">
        <v>1</v>
      </c>
      <c r="F101" s="143">
        <v>580000</v>
      </c>
      <c r="G101" s="148">
        <v>638000</v>
      </c>
      <c r="H101" s="43">
        <v>621000</v>
      </c>
      <c r="I101" s="38">
        <f t="shared" si="4"/>
        <v>580000</v>
      </c>
      <c r="J101" s="39">
        <f t="shared" si="5"/>
        <v>580000</v>
      </c>
      <c r="K101" s="10"/>
    </row>
    <row r="102" spans="1:11">
      <c r="A102" s="27">
        <v>7</v>
      </c>
      <c r="B102" s="9" t="s">
        <v>89</v>
      </c>
      <c r="C102" s="9" t="s">
        <v>17</v>
      </c>
      <c r="D102" s="9" t="s">
        <v>49</v>
      </c>
      <c r="E102" s="10">
        <v>1</v>
      </c>
      <c r="F102" s="143">
        <v>621000</v>
      </c>
      <c r="G102" s="148">
        <v>683000</v>
      </c>
      <c r="H102" s="43">
        <v>664000</v>
      </c>
      <c r="I102" s="38">
        <f t="shared" si="4"/>
        <v>621000</v>
      </c>
      <c r="J102" s="39">
        <f t="shared" si="5"/>
        <v>621000</v>
      </c>
      <c r="K102" s="10" t="s">
        <v>13</v>
      </c>
    </row>
    <row r="103" spans="1:11">
      <c r="A103" s="27">
        <v>8</v>
      </c>
      <c r="B103" s="9" t="s">
        <v>90</v>
      </c>
      <c r="C103" s="9" t="s">
        <v>26</v>
      </c>
      <c r="D103" s="9" t="s">
        <v>49</v>
      </c>
      <c r="E103" s="10">
        <v>1</v>
      </c>
      <c r="F103" s="144">
        <v>580000</v>
      </c>
      <c r="G103" s="149">
        <v>638000</v>
      </c>
      <c r="H103" s="59">
        <v>621000</v>
      </c>
      <c r="I103" s="38">
        <f t="shared" si="4"/>
        <v>580000</v>
      </c>
      <c r="J103" s="39">
        <f t="shared" si="5"/>
        <v>580000</v>
      </c>
      <c r="K103" s="17" t="s">
        <v>13</v>
      </c>
    </row>
    <row r="104" spans="1:11">
      <c r="A104" s="27">
        <v>9</v>
      </c>
      <c r="B104" s="16" t="s">
        <v>91</v>
      </c>
      <c r="C104" s="16" t="s">
        <v>26</v>
      </c>
      <c r="D104" s="16" t="s">
        <v>49</v>
      </c>
      <c r="E104" s="17">
        <v>2</v>
      </c>
      <c r="F104" s="143">
        <v>568000</v>
      </c>
      <c r="G104" s="148">
        <v>625000</v>
      </c>
      <c r="H104" s="43">
        <v>608000</v>
      </c>
      <c r="I104" s="38">
        <f t="shared" si="4"/>
        <v>568000</v>
      </c>
      <c r="J104" s="39">
        <f t="shared" si="5"/>
        <v>1136000</v>
      </c>
      <c r="K104" s="10"/>
    </row>
    <row r="105" spans="1:11">
      <c r="A105" s="27">
        <v>10</v>
      </c>
      <c r="B105" s="9" t="s">
        <v>459</v>
      </c>
      <c r="C105" s="9" t="s">
        <v>417</v>
      </c>
      <c r="D105" s="9" t="s">
        <v>82</v>
      </c>
      <c r="E105" s="10">
        <v>2</v>
      </c>
      <c r="F105" s="143">
        <v>690000</v>
      </c>
      <c r="G105" s="148">
        <v>759000</v>
      </c>
      <c r="H105" s="43">
        <v>738000</v>
      </c>
      <c r="I105" s="38">
        <f t="shared" si="4"/>
        <v>690000</v>
      </c>
      <c r="J105" s="39">
        <f t="shared" si="5"/>
        <v>1380000</v>
      </c>
      <c r="K105" s="10"/>
    </row>
    <row r="106" spans="1:11">
      <c r="A106" s="27">
        <v>11</v>
      </c>
      <c r="B106" s="9" t="s">
        <v>93</v>
      </c>
      <c r="C106" s="9" t="s">
        <v>17</v>
      </c>
      <c r="D106" s="9" t="s">
        <v>49</v>
      </c>
      <c r="E106" s="10">
        <v>2</v>
      </c>
      <c r="F106" s="144">
        <v>415000</v>
      </c>
      <c r="G106" s="149">
        <v>457000</v>
      </c>
      <c r="H106" s="59">
        <v>444000</v>
      </c>
      <c r="I106" s="38">
        <f t="shared" si="4"/>
        <v>415000</v>
      </c>
      <c r="J106" s="39">
        <f t="shared" si="5"/>
        <v>830000</v>
      </c>
      <c r="K106" s="17" t="s">
        <v>13</v>
      </c>
    </row>
    <row r="107" spans="1:11">
      <c r="A107" s="27">
        <v>12</v>
      </c>
      <c r="B107" s="9" t="s">
        <v>94</v>
      </c>
      <c r="C107" s="9" t="s">
        <v>432</v>
      </c>
      <c r="D107" s="9" t="s">
        <v>104</v>
      </c>
      <c r="E107" s="10">
        <v>1</v>
      </c>
      <c r="F107" s="143">
        <v>186000</v>
      </c>
      <c r="G107" s="148">
        <v>205000</v>
      </c>
      <c r="H107" s="43">
        <v>199000</v>
      </c>
      <c r="I107" s="38">
        <f t="shared" si="4"/>
        <v>186000</v>
      </c>
      <c r="J107" s="39">
        <f t="shared" si="5"/>
        <v>186000</v>
      </c>
      <c r="K107" s="10"/>
    </row>
    <row r="108" spans="1:11">
      <c r="A108" s="27">
        <v>13</v>
      </c>
      <c r="B108" s="19" t="s">
        <v>96</v>
      </c>
      <c r="C108" s="19" t="s">
        <v>417</v>
      </c>
      <c r="D108" s="19" t="s">
        <v>49</v>
      </c>
      <c r="E108" s="20">
        <v>2</v>
      </c>
      <c r="F108" s="142">
        <v>872000</v>
      </c>
      <c r="G108" s="147">
        <v>959000</v>
      </c>
      <c r="H108" s="42">
        <v>933000</v>
      </c>
      <c r="I108" s="38">
        <f t="shared" si="4"/>
        <v>872000</v>
      </c>
      <c r="J108" s="39">
        <f t="shared" si="5"/>
        <v>1744000</v>
      </c>
      <c r="K108" s="6"/>
    </row>
    <row r="109" spans="1:11">
      <c r="A109" s="27">
        <v>14</v>
      </c>
      <c r="B109" s="9" t="s">
        <v>95</v>
      </c>
      <c r="C109" s="9" t="s">
        <v>417</v>
      </c>
      <c r="D109" s="9" t="s">
        <v>82</v>
      </c>
      <c r="E109" s="10">
        <v>5</v>
      </c>
      <c r="F109" s="143">
        <v>513000</v>
      </c>
      <c r="G109" s="148">
        <v>564000</v>
      </c>
      <c r="H109" s="43">
        <v>549000</v>
      </c>
      <c r="I109" s="38">
        <f t="shared" si="4"/>
        <v>513000</v>
      </c>
      <c r="J109" s="39">
        <f t="shared" si="5"/>
        <v>2565000</v>
      </c>
      <c r="K109" s="10"/>
    </row>
    <row r="110" spans="1:11">
      <c r="A110" s="27">
        <v>15</v>
      </c>
      <c r="B110" s="9" t="s">
        <v>97</v>
      </c>
      <c r="C110" s="9" t="s">
        <v>26</v>
      </c>
      <c r="D110" s="9" t="s">
        <v>82</v>
      </c>
      <c r="E110" s="10">
        <v>5</v>
      </c>
      <c r="F110" s="143">
        <v>534000</v>
      </c>
      <c r="G110" s="148">
        <v>587000</v>
      </c>
      <c r="H110" s="43">
        <v>571000</v>
      </c>
      <c r="I110" s="38">
        <f t="shared" si="4"/>
        <v>534000</v>
      </c>
      <c r="J110" s="39">
        <f t="shared" si="5"/>
        <v>2670000</v>
      </c>
      <c r="K110" s="10"/>
    </row>
    <row r="111" spans="1:11">
      <c r="A111" s="27">
        <v>16</v>
      </c>
      <c r="B111" s="9" t="s">
        <v>98</v>
      </c>
      <c r="C111" s="9" t="s">
        <v>26</v>
      </c>
      <c r="D111" s="9" t="s">
        <v>82</v>
      </c>
      <c r="E111" s="10">
        <v>2</v>
      </c>
      <c r="F111" s="144">
        <v>858000</v>
      </c>
      <c r="G111" s="149">
        <v>944000</v>
      </c>
      <c r="H111" s="59">
        <v>918000</v>
      </c>
      <c r="I111" s="38">
        <f t="shared" si="4"/>
        <v>858000</v>
      </c>
      <c r="J111" s="39">
        <f t="shared" si="5"/>
        <v>1716000</v>
      </c>
      <c r="K111" s="17" t="s">
        <v>13</v>
      </c>
    </row>
    <row r="112" spans="1:11">
      <c r="A112" s="27">
        <v>17</v>
      </c>
      <c r="B112" s="9" t="s">
        <v>99</v>
      </c>
      <c r="C112" s="9" t="s">
        <v>17</v>
      </c>
      <c r="D112" s="9" t="s">
        <v>49</v>
      </c>
      <c r="E112" s="10">
        <v>2</v>
      </c>
      <c r="F112" s="143">
        <v>998000</v>
      </c>
      <c r="G112" s="148">
        <v>1098000</v>
      </c>
      <c r="H112" s="43">
        <v>1068000</v>
      </c>
      <c r="I112" s="38">
        <f t="shared" si="4"/>
        <v>998000</v>
      </c>
      <c r="J112" s="39">
        <f t="shared" si="5"/>
        <v>1996000</v>
      </c>
      <c r="K112" s="10"/>
    </row>
    <row r="113" spans="1:11">
      <c r="A113" s="27">
        <v>18</v>
      </c>
      <c r="B113" s="9" t="s">
        <v>100</v>
      </c>
      <c r="C113" s="9" t="s">
        <v>417</v>
      </c>
      <c r="D113" s="21" t="s">
        <v>403</v>
      </c>
      <c r="E113" s="22">
        <v>3</v>
      </c>
      <c r="F113" s="143">
        <v>796000</v>
      </c>
      <c r="G113" s="148">
        <v>876000</v>
      </c>
      <c r="H113" s="43">
        <v>852000</v>
      </c>
      <c r="I113" s="38">
        <f t="shared" si="4"/>
        <v>796000</v>
      </c>
      <c r="J113" s="39">
        <f t="shared" si="5"/>
        <v>2388000</v>
      </c>
      <c r="K113" s="10"/>
    </row>
    <row r="114" spans="1:11">
      <c r="A114" s="27">
        <v>19</v>
      </c>
      <c r="B114" s="19" t="s">
        <v>101</v>
      </c>
      <c r="C114" s="19" t="s">
        <v>417</v>
      </c>
      <c r="D114" s="21" t="s">
        <v>403</v>
      </c>
      <c r="E114" s="20">
        <v>3</v>
      </c>
      <c r="F114" s="143">
        <v>905000</v>
      </c>
      <c r="G114" s="148">
        <v>996000</v>
      </c>
      <c r="H114" s="43">
        <v>968000</v>
      </c>
      <c r="I114" s="38">
        <f t="shared" si="4"/>
        <v>905000</v>
      </c>
      <c r="J114" s="39">
        <f t="shared" si="5"/>
        <v>2715000</v>
      </c>
      <c r="K114" s="10"/>
    </row>
    <row r="115" spans="1:11">
      <c r="A115" s="27">
        <v>20</v>
      </c>
      <c r="B115" s="9" t="s">
        <v>102</v>
      </c>
      <c r="C115" s="9" t="s">
        <v>103</v>
      </c>
      <c r="D115" s="9" t="s">
        <v>104</v>
      </c>
      <c r="E115" s="10">
        <v>1</v>
      </c>
      <c r="F115" s="152">
        <v>563000</v>
      </c>
      <c r="G115" s="156">
        <v>619000</v>
      </c>
      <c r="H115" s="63">
        <v>602000</v>
      </c>
      <c r="I115" s="38">
        <f t="shared" si="4"/>
        <v>563000</v>
      </c>
      <c r="J115" s="39">
        <f t="shared" si="5"/>
        <v>563000</v>
      </c>
      <c r="K115" s="10"/>
    </row>
    <row r="116" spans="1:11">
      <c r="A116" s="27">
        <v>21</v>
      </c>
      <c r="B116" s="9" t="s">
        <v>105</v>
      </c>
      <c r="C116" s="9" t="s">
        <v>103</v>
      </c>
      <c r="D116" s="9" t="s">
        <v>104</v>
      </c>
      <c r="E116" s="10">
        <v>1</v>
      </c>
      <c r="F116" s="144">
        <v>563000</v>
      </c>
      <c r="G116" s="149">
        <v>619000</v>
      </c>
      <c r="H116" s="59">
        <v>602000</v>
      </c>
      <c r="I116" s="38">
        <f t="shared" si="4"/>
        <v>563000</v>
      </c>
      <c r="J116" s="39">
        <f t="shared" si="5"/>
        <v>563000</v>
      </c>
      <c r="K116" s="17" t="s">
        <v>13</v>
      </c>
    </row>
    <row r="117" spans="1:11" ht="24" customHeight="1">
      <c r="A117" s="27">
        <v>22</v>
      </c>
      <c r="B117" s="9" t="s">
        <v>106</v>
      </c>
      <c r="C117" s="9" t="s">
        <v>26</v>
      </c>
      <c r="D117" s="9" t="s">
        <v>82</v>
      </c>
      <c r="E117" s="10">
        <v>10</v>
      </c>
      <c r="F117" s="143">
        <v>638000</v>
      </c>
      <c r="G117" s="148">
        <v>702000</v>
      </c>
      <c r="H117" s="43">
        <v>683000</v>
      </c>
      <c r="I117" s="38">
        <f t="shared" si="4"/>
        <v>638000</v>
      </c>
      <c r="J117" s="39">
        <f t="shared" si="5"/>
        <v>6380000</v>
      </c>
      <c r="K117" s="10"/>
    </row>
    <row r="118" spans="1:11" ht="24" customHeight="1">
      <c r="A118" s="27">
        <v>23</v>
      </c>
      <c r="B118" s="26" t="s">
        <v>404</v>
      </c>
      <c r="C118" s="9" t="s">
        <v>26</v>
      </c>
      <c r="D118" s="9" t="s">
        <v>82</v>
      </c>
      <c r="E118" s="10">
        <v>1</v>
      </c>
      <c r="F118" s="143">
        <v>592000</v>
      </c>
      <c r="G118" s="148">
        <v>651000</v>
      </c>
      <c r="H118" s="43">
        <v>633000</v>
      </c>
      <c r="I118" s="38">
        <f t="shared" si="4"/>
        <v>592000</v>
      </c>
      <c r="J118" s="39">
        <f t="shared" si="5"/>
        <v>592000</v>
      </c>
      <c r="K118" s="10"/>
    </row>
    <row r="119" spans="1:11">
      <c r="A119" s="27">
        <v>24</v>
      </c>
      <c r="B119" s="9" t="s">
        <v>438</v>
      </c>
      <c r="C119" s="9" t="s">
        <v>107</v>
      </c>
      <c r="D119" s="9" t="s">
        <v>82</v>
      </c>
      <c r="E119" s="10">
        <v>5</v>
      </c>
      <c r="F119" s="143">
        <v>418000</v>
      </c>
      <c r="G119" s="148">
        <v>460000</v>
      </c>
      <c r="H119" s="43">
        <v>447000</v>
      </c>
      <c r="I119" s="38">
        <f t="shared" si="4"/>
        <v>418000</v>
      </c>
      <c r="J119" s="39">
        <f t="shared" si="5"/>
        <v>2090000</v>
      </c>
      <c r="K119" s="10"/>
    </row>
    <row r="120" spans="1:11">
      <c r="A120" s="27">
        <v>25</v>
      </c>
      <c r="B120" s="9" t="s">
        <v>108</v>
      </c>
      <c r="C120" s="9" t="s">
        <v>17</v>
      </c>
      <c r="D120" s="9" t="s">
        <v>49</v>
      </c>
      <c r="E120" s="10">
        <v>1</v>
      </c>
      <c r="F120" s="143">
        <v>648000</v>
      </c>
      <c r="G120" s="148">
        <v>713000</v>
      </c>
      <c r="H120" s="43">
        <v>693000</v>
      </c>
      <c r="I120" s="38">
        <f t="shared" si="4"/>
        <v>648000</v>
      </c>
      <c r="J120" s="39">
        <f t="shared" si="5"/>
        <v>648000</v>
      </c>
      <c r="K120" s="10"/>
    </row>
    <row r="121" spans="1:11">
      <c r="A121" s="27">
        <v>26</v>
      </c>
      <c r="B121" s="9" t="s">
        <v>109</v>
      </c>
      <c r="C121" s="9" t="s">
        <v>26</v>
      </c>
      <c r="D121" s="9" t="s">
        <v>49</v>
      </c>
      <c r="E121" s="10">
        <v>1</v>
      </c>
      <c r="F121" s="153">
        <v>406000</v>
      </c>
      <c r="G121" s="157">
        <v>447000</v>
      </c>
      <c r="H121" s="108">
        <v>434000</v>
      </c>
      <c r="I121" s="38">
        <f t="shared" si="4"/>
        <v>406000</v>
      </c>
      <c r="J121" s="39">
        <f t="shared" si="5"/>
        <v>406000</v>
      </c>
      <c r="K121" s="6"/>
    </row>
    <row r="122" spans="1:11">
      <c r="A122" s="27">
        <v>27</v>
      </c>
      <c r="B122" s="9" t="s">
        <v>110</v>
      </c>
      <c r="C122" s="9" t="s">
        <v>417</v>
      </c>
      <c r="D122" s="9" t="s">
        <v>49</v>
      </c>
      <c r="E122" s="10">
        <v>2</v>
      </c>
      <c r="F122" s="153">
        <v>487000</v>
      </c>
      <c r="G122" s="157">
        <v>536000</v>
      </c>
      <c r="H122" s="108">
        <v>521000</v>
      </c>
      <c r="I122" s="38">
        <f t="shared" si="4"/>
        <v>487000</v>
      </c>
      <c r="J122" s="39">
        <f t="shared" si="5"/>
        <v>974000</v>
      </c>
      <c r="K122" s="6"/>
    </row>
    <row r="123" spans="1:11">
      <c r="A123" s="27">
        <v>28</v>
      </c>
      <c r="B123" s="26" t="s">
        <v>405</v>
      </c>
      <c r="C123" s="9" t="s">
        <v>17</v>
      </c>
      <c r="D123" s="109" t="s">
        <v>49</v>
      </c>
      <c r="E123" s="110">
        <v>2</v>
      </c>
      <c r="F123" s="153">
        <v>1334000</v>
      </c>
      <c r="G123" s="157">
        <v>1467000</v>
      </c>
      <c r="H123" s="108">
        <v>1427000</v>
      </c>
      <c r="I123" s="38">
        <f t="shared" si="4"/>
        <v>1334000</v>
      </c>
      <c r="J123" s="39">
        <f t="shared" si="5"/>
        <v>2668000</v>
      </c>
      <c r="K123" s="6"/>
    </row>
    <row r="124" spans="1:11">
      <c r="A124" s="27">
        <v>29</v>
      </c>
      <c r="B124" s="9" t="s">
        <v>111</v>
      </c>
      <c r="C124" s="9" t="s">
        <v>417</v>
      </c>
      <c r="D124" s="9" t="s">
        <v>82</v>
      </c>
      <c r="E124" s="10">
        <v>10</v>
      </c>
      <c r="F124" s="143">
        <v>267000</v>
      </c>
      <c r="G124" s="148">
        <v>294000</v>
      </c>
      <c r="H124" s="43">
        <v>286000</v>
      </c>
      <c r="I124" s="38">
        <f t="shared" si="4"/>
        <v>267000</v>
      </c>
      <c r="J124" s="39">
        <f t="shared" si="5"/>
        <v>2670000</v>
      </c>
      <c r="K124" s="10"/>
    </row>
    <row r="125" spans="1:11">
      <c r="A125" s="27">
        <v>30</v>
      </c>
      <c r="B125" s="9" t="s">
        <v>112</v>
      </c>
      <c r="C125" s="9" t="s">
        <v>26</v>
      </c>
      <c r="D125" s="9" t="s">
        <v>82</v>
      </c>
      <c r="E125" s="10">
        <v>15</v>
      </c>
      <c r="F125" s="143">
        <v>348000</v>
      </c>
      <c r="G125" s="148">
        <v>383000</v>
      </c>
      <c r="H125" s="43">
        <v>372000</v>
      </c>
      <c r="I125" s="38">
        <f t="shared" si="4"/>
        <v>348000</v>
      </c>
      <c r="J125" s="39">
        <f t="shared" si="5"/>
        <v>5220000</v>
      </c>
      <c r="K125" s="10"/>
    </row>
    <row r="126" spans="1:11">
      <c r="A126" s="27">
        <v>31</v>
      </c>
      <c r="B126" s="97" t="s">
        <v>406</v>
      </c>
      <c r="C126" s="5" t="s">
        <v>84</v>
      </c>
      <c r="D126" s="9" t="s">
        <v>104</v>
      </c>
      <c r="E126" s="111">
        <v>1</v>
      </c>
      <c r="F126" s="143">
        <v>719000</v>
      </c>
      <c r="G126" s="148">
        <v>791000</v>
      </c>
      <c r="H126" s="43">
        <v>769000</v>
      </c>
      <c r="I126" s="38">
        <f t="shared" si="4"/>
        <v>719000</v>
      </c>
      <c r="J126" s="39">
        <f t="shared" si="5"/>
        <v>719000</v>
      </c>
      <c r="K126" s="10"/>
    </row>
    <row r="127" spans="1:11">
      <c r="A127" s="27">
        <v>32</v>
      </c>
      <c r="B127" s="97" t="s">
        <v>407</v>
      </c>
      <c r="C127" s="5" t="s">
        <v>26</v>
      </c>
      <c r="D127" s="9" t="s">
        <v>49</v>
      </c>
      <c r="E127" s="10">
        <v>2</v>
      </c>
      <c r="F127" s="144">
        <v>522000</v>
      </c>
      <c r="G127" s="149">
        <v>574000</v>
      </c>
      <c r="H127" s="59">
        <v>559000</v>
      </c>
      <c r="I127" s="38">
        <f t="shared" si="4"/>
        <v>522000</v>
      </c>
      <c r="J127" s="39">
        <f t="shared" si="5"/>
        <v>1044000</v>
      </c>
      <c r="K127" s="17"/>
    </row>
    <row r="128" spans="1:11">
      <c r="A128" s="27">
        <v>33</v>
      </c>
      <c r="B128" s="97" t="s">
        <v>408</v>
      </c>
      <c r="C128" s="5" t="s">
        <v>460</v>
      </c>
      <c r="D128" s="9" t="s">
        <v>49</v>
      </c>
      <c r="E128" s="10">
        <v>1</v>
      </c>
      <c r="F128" s="144">
        <v>441000</v>
      </c>
      <c r="G128" s="149">
        <v>485000</v>
      </c>
      <c r="H128" s="59">
        <v>472000</v>
      </c>
      <c r="I128" s="38">
        <f t="shared" si="4"/>
        <v>441000</v>
      </c>
      <c r="J128" s="39">
        <f t="shared" si="5"/>
        <v>441000</v>
      </c>
      <c r="K128" s="17"/>
    </row>
    <row r="129" spans="1:11">
      <c r="A129" s="27">
        <v>34</v>
      </c>
      <c r="B129" s="94" t="s">
        <v>409</v>
      </c>
      <c r="C129" s="9" t="s">
        <v>17</v>
      </c>
      <c r="D129" s="9" t="s">
        <v>49</v>
      </c>
      <c r="E129" s="10">
        <v>1</v>
      </c>
      <c r="F129" s="144">
        <v>2088000</v>
      </c>
      <c r="G129" s="149">
        <v>2297000</v>
      </c>
      <c r="H129" s="59">
        <v>2234000</v>
      </c>
      <c r="I129" s="38">
        <f t="shared" si="4"/>
        <v>2088000</v>
      </c>
      <c r="J129" s="39">
        <f t="shared" si="5"/>
        <v>2088000</v>
      </c>
      <c r="K129" s="17"/>
    </row>
    <row r="130" spans="1:11" ht="22.5" customHeight="1">
      <c r="A130" s="27">
        <v>35</v>
      </c>
      <c r="B130" s="9" t="s">
        <v>113</v>
      </c>
      <c r="C130" s="9" t="s">
        <v>425</v>
      </c>
      <c r="D130" s="9" t="s">
        <v>421</v>
      </c>
      <c r="E130" s="10">
        <v>1</v>
      </c>
      <c r="F130" s="143">
        <v>2958000</v>
      </c>
      <c r="G130" s="148">
        <v>1255000</v>
      </c>
      <c r="H130" s="43">
        <v>1221000</v>
      </c>
      <c r="I130" s="38">
        <f t="shared" si="4"/>
        <v>1221000</v>
      </c>
      <c r="J130" s="39">
        <f t="shared" si="5"/>
        <v>1221000</v>
      </c>
      <c r="K130" s="10"/>
    </row>
    <row r="131" spans="1:11">
      <c r="A131" s="27">
        <v>36</v>
      </c>
      <c r="B131" s="16" t="s">
        <v>114</v>
      </c>
      <c r="C131" s="16" t="s">
        <v>17</v>
      </c>
      <c r="D131" s="16" t="s">
        <v>49</v>
      </c>
      <c r="E131" s="17">
        <v>1</v>
      </c>
      <c r="F131" s="143">
        <v>1914000</v>
      </c>
      <c r="G131" s="148">
        <v>1141000</v>
      </c>
      <c r="H131" s="43">
        <v>2048000</v>
      </c>
      <c r="I131" s="38">
        <f t="shared" si="4"/>
        <v>1141000</v>
      </c>
      <c r="J131" s="39">
        <f t="shared" si="5"/>
        <v>1141000</v>
      </c>
      <c r="K131" s="10" t="s">
        <v>13</v>
      </c>
    </row>
    <row r="132" spans="1:11">
      <c r="A132" s="27">
        <v>37</v>
      </c>
      <c r="B132" s="16" t="s">
        <v>115</v>
      </c>
      <c r="C132" s="16" t="s">
        <v>417</v>
      </c>
      <c r="D132" s="9" t="s">
        <v>430</v>
      </c>
      <c r="E132" s="17">
        <v>2</v>
      </c>
      <c r="F132" s="144">
        <v>905000</v>
      </c>
      <c r="G132" s="149">
        <v>996000</v>
      </c>
      <c r="H132" s="59">
        <v>968000</v>
      </c>
      <c r="I132" s="38">
        <f t="shared" si="4"/>
        <v>905000</v>
      </c>
      <c r="J132" s="39">
        <f t="shared" si="5"/>
        <v>1810000</v>
      </c>
      <c r="K132" s="17"/>
    </row>
    <row r="133" spans="1:11" ht="23.25" customHeight="1">
      <c r="A133" s="27">
        <v>38</v>
      </c>
      <c r="B133" s="19" t="s">
        <v>431</v>
      </c>
      <c r="C133" s="9" t="s">
        <v>417</v>
      </c>
      <c r="D133" s="9" t="s">
        <v>82</v>
      </c>
      <c r="E133" s="27">
        <v>1</v>
      </c>
      <c r="F133" s="143">
        <v>481000</v>
      </c>
      <c r="G133" s="148">
        <v>529000</v>
      </c>
      <c r="H133" s="43">
        <v>515000</v>
      </c>
      <c r="I133" s="38">
        <f t="shared" si="4"/>
        <v>481000</v>
      </c>
      <c r="J133" s="39">
        <f t="shared" si="5"/>
        <v>481000</v>
      </c>
      <c r="K133" s="10"/>
    </row>
    <row r="134" spans="1:11">
      <c r="A134" s="27">
        <v>39</v>
      </c>
      <c r="B134" s="9" t="s">
        <v>120</v>
      </c>
      <c r="C134" s="9" t="s">
        <v>417</v>
      </c>
      <c r="D134" s="9" t="s">
        <v>49</v>
      </c>
      <c r="E134" s="10">
        <v>3</v>
      </c>
      <c r="F134" s="144">
        <v>1348000</v>
      </c>
      <c r="G134" s="149">
        <v>1483000</v>
      </c>
      <c r="H134" s="59">
        <v>1442000</v>
      </c>
      <c r="I134" s="38">
        <f t="shared" si="4"/>
        <v>1348000</v>
      </c>
      <c r="J134" s="39">
        <f t="shared" si="5"/>
        <v>4044000</v>
      </c>
      <c r="K134" s="17"/>
    </row>
    <row r="135" spans="1:11">
      <c r="A135" s="27">
        <v>40</v>
      </c>
      <c r="B135" s="23" t="s">
        <v>410</v>
      </c>
      <c r="C135" s="23" t="s">
        <v>17</v>
      </c>
      <c r="D135" s="24" t="s">
        <v>448</v>
      </c>
      <c r="E135" s="25">
        <v>3</v>
      </c>
      <c r="F135" s="144">
        <v>6148000</v>
      </c>
      <c r="G135" s="149">
        <v>6763000</v>
      </c>
      <c r="H135" s="59">
        <v>6578000</v>
      </c>
      <c r="I135" s="38">
        <f t="shared" si="4"/>
        <v>6148000</v>
      </c>
      <c r="J135" s="39">
        <f t="shared" si="5"/>
        <v>18444000</v>
      </c>
      <c r="K135" s="17"/>
    </row>
    <row r="136" spans="1:11" ht="24" customHeight="1">
      <c r="A136" s="27">
        <v>41</v>
      </c>
      <c r="B136" s="16" t="s">
        <v>121</v>
      </c>
      <c r="C136" s="16" t="s">
        <v>107</v>
      </c>
      <c r="D136" s="16" t="s">
        <v>82</v>
      </c>
      <c r="E136" s="17">
        <v>1</v>
      </c>
      <c r="F136" s="153">
        <v>824000</v>
      </c>
      <c r="G136" s="157">
        <v>906000</v>
      </c>
      <c r="H136" s="108">
        <v>882000</v>
      </c>
      <c r="I136" s="38">
        <f t="shared" si="4"/>
        <v>824000</v>
      </c>
      <c r="J136" s="39">
        <f t="shared" si="5"/>
        <v>824000</v>
      </c>
      <c r="K136" s="6"/>
    </row>
    <row r="137" spans="1:11">
      <c r="A137" s="27">
        <v>42</v>
      </c>
      <c r="B137" s="16" t="s">
        <v>122</v>
      </c>
      <c r="C137" s="16" t="s">
        <v>417</v>
      </c>
      <c r="D137" s="16" t="s">
        <v>49</v>
      </c>
      <c r="E137" s="17">
        <v>3</v>
      </c>
      <c r="F137" s="153">
        <v>1334000</v>
      </c>
      <c r="G137" s="157">
        <v>1467000</v>
      </c>
      <c r="H137" s="108">
        <v>1427000</v>
      </c>
      <c r="I137" s="38">
        <f t="shared" si="4"/>
        <v>1334000</v>
      </c>
      <c r="J137" s="39">
        <f t="shared" si="5"/>
        <v>4002000</v>
      </c>
      <c r="K137" s="6"/>
    </row>
    <row r="138" spans="1:11" ht="26.25" customHeight="1">
      <c r="A138" s="27">
        <v>43</v>
      </c>
      <c r="B138" s="9" t="s">
        <v>123</v>
      </c>
      <c r="C138" s="16" t="s">
        <v>107</v>
      </c>
      <c r="D138" s="16" t="s">
        <v>82</v>
      </c>
      <c r="E138" s="10">
        <v>3</v>
      </c>
      <c r="F138" s="153">
        <v>383000</v>
      </c>
      <c r="G138" s="157">
        <v>421000</v>
      </c>
      <c r="H138" s="108">
        <v>410000</v>
      </c>
      <c r="I138" s="38">
        <f t="shared" si="4"/>
        <v>383000</v>
      </c>
      <c r="J138" s="39">
        <f t="shared" si="5"/>
        <v>1149000</v>
      </c>
      <c r="K138" s="6"/>
    </row>
    <row r="139" spans="1:11" ht="26.25" customHeight="1">
      <c r="A139" s="27">
        <v>44</v>
      </c>
      <c r="B139" s="19" t="s">
        <v>124</v>
      </c>
      <c r="C139" s="19" t="s">
        <v>26</v>
      </c>
      <c r="D139" s="19" t="s">
        <v>49</v>
      </c>
      <c r="E139" s="20">
        <v>2</v>
      </c>
      <c r="F139" s="153">
        <v>759000</v>
      </c>
      <c r="G139" s="157">
        <v>835000</v>
      </c>
      <c r="H139" s="108">
        <v>812000</v>
      </c>
      <c r="I139" s="38">
        <f t="shared" si="4"/>
        <v>759000</v>
      </c>
      <c r="J139" s="39">
        <f t="shared" si="5"/>
        <v>1518000</v>
      </c>
      <c r="K139" s="6"/>
    </row>
    <row r="140" spans="1:11" ht="24" customHeight="1">
      <c r="A140" s="27">
        <v>45</v>
      </c>
      <c r="B140" s="109" t="s">
        <v>126</v>
      </c>
      <c r="C140" s="109" t="s">
        <v>107</v>
      </c>
      <c r="D140" s="16" t="s">
        <v>82</v>
      </c>
      <c r="E140" s="110">
        <v>1</v>
      </c>
      <c r="F140" s="153">
        <v>394000</v>
      </c>
      <c r="G140" s="157">
        <v>433000</v>
      </c>
      <c r="H140" s="108">
        <v>422000</v>
      </c>
      <c r="I140" s="38">
        <f t="shared" si="4"/>
        <v>394000</v>
      </c>
      <c r="J140" s="39">
        <f t="shared" si="5"/>
        <v>394000</v>
      </c>
      <c r="K140" s="6"/>
    </row>
    <row r="141" spans="1:11">
      <c r="A141" s="27">
        <v>46</v>
      </c>
      <c r="B141" s="48" t="s">
        <v>87</v>
      </c>
      <c r="C141" s="48" t="s">
        <v>449</v>
      </c>
      <c r="D141" s="31" t="s">
        <v>88</v>
      </c>
      <c r="E141" s="31">
        <v>3</v>
      </c>
      <c r="F141" s="153">
        <v>35000</v>
      </c>
      <c r="G141" s="157">
        <v>39000</v>
      </c>
      <c r="H141" s="108">
        <v>37000</v>
      </c>
      <c r="I141" s="38">
        <f t="shared" si="4"/>
        <v>35000</v>
      </c>
      <c r="J141" s="39">
        <f t="shared" si="5"/>
        <v>105000</v>
      </c>
      <c r="K141" s="6"/>
    </row>
    <row r="142" spans="1:11">
      <c r="A142" s="27">
        <v>47</v>
      </c>
      <c r="B142" s="48" t="s">
        <v>92</v>
      </c>
      <c r="C142" s="48" t="s">
        <v>449</v>
      </c>
      <c r="D142" s="31" t="s">
        <v>88</v>
      </c>
      <c r="E142" s="31">
        <v>3</v>
      </c>
      <c r="F142" s="153">
        <v>35000</v>
      </c>
      <c r="G142" s="157">
        <v>39000</v>
      </c>
      <c r="H142" s="108">
        <v>37000</v>
      </c>
      <c r="I142" s="38">
        <f t="shared" si="4"/>
        <v>35000</v>
      </c>
      <c r="J142" s="39">
        <f t="shared" si="5"/>
        <v>105000</v>
      </c>
      <c r="K142" s="6"/>
    </row>
    <row r="143" spans="1:11">
      <c r="A143" s="27">
        <v>48</v>
      </c>
      <c r="B143" s="48" t="s">
        <v>411</v>
      </c>
      <c r="C143" s="48" t="s">
        <v>449</v>
      </c>
      <c r="D143" s="31" t="s">
        <v>88</v>
      </c>
      <c r="E143" s="31">
        <v>3</v>
      </c>
      <c r="F143" s="153">
        <v>35000</v>
      </c>
      <c r="G143" s="157">
        <v>39000</v>
      </c>
      <c r="H143" s="108">
        <v>37000</v>
      </c>
      <c r="I143" s="38">
        <f t="shared" si="4"/>
        <v>35000</v>
      </c>
      <c r="J143" s="39">
        <f t="shared" si="5"/>
        <v>105000</v>
      </c>
      <c r="K143" s="6"/>
    </row>
    <row r="144" spans="1:11">
      <c r="A144" s="27">
        <v>49</v>
      </c>
      <c r="B144" s="48" t="s">
        <v>116</v>
      </c>
      <c r="C144" s="48" t="s">
        <v>449</v>
      </c>
      <c r="D144" s="31" t="s">
        <v>117</v>
      </c>
      <c r="E144" s="31">
        <v>3</v>
      </c>
      <c r="F144" s="153">
        <v>530000</v>
      </c>
      <c r="G144" s="157">
        <v>583000</v>
      </c>
      <c r="H144" s="108">
        <v>567000</v>
      </c>
      <c r="I144" s="38">
        <f t="shared" si="4"/>
        <v>530000</v>
      </c>
      <c r="J144" s="39">
        <f t="shared" si="5"/>
        <v>1590000</v>
      </c>
      <c r="K144" s="6"/>
    </row>
    <row r="145" spans="1:12">
      <c r="A145" s="27">
        <v>50</v>
      </c>
      <c r="B145" s="112" t="s">
        <v>118</v>
      </c>
      <c r="C145" s="23" t="s">
        <v>17</v>
      </c>
      <c r="D145" s="31" t="s">
        <v>88</v>
      </c>
      <c r="E145" s="31">
        <v>3</v>
      </c>
      <c r="F145" s="153">
        <v>563000</v>
      </c>
      <c r="G145" s="157">
        <v>619000</v>
      </c>
      <c r="H145" s="108">
        <v>602000</v>
      </c>
      <c r="I145" s="38">
        <f t="shared" si="4"/>
        <v>563000</v>
      </c>
      <c r="J145" s="39">
        <f t="shared" si="5"/>
        <v>1689000</v>
      </c>
      <c r="K145" s="6"/>
    </row>
    <row r="146" spans="1:12">
      <c r="A146" s="27">
        <v>51</v>
      </c>
      <c r="B146" s="48" t="s">
        <v>119</v>
      </c>
      <c r="C146" s="48" t="s">
        <v>449</v>
      </c>
      <c r="D146" s="31" t="s">
        <v>88</v>
      </c>
      <c r="E146" s="31">
        <v>5</v>
      </c>
      <c r="F146" s="153">
        <v>46000</v>
      </c>
      <c r="G146" s="157">
        <v>51000</v>
      </c>
      <c r="H146" s="108">
        <v>49000</v>
      </c>
      <c r="I146" s="38">
        <f t="shared" si="4"/>
        <v>46000</v>
      </c>
      <c r="J146" s="39">
        <f t="shared" si="5"/>
        <v>230000</v>
      </c>
      <c r="K146" s="6"/>
    </row>
    <row r="147" spans="1:12">
      <c r="A147" s="27">
        <v>52</v>
      </c>
      <c r="B147" s="48" t="s">
        <v>125</v>
      </c>
      <c r="C147" s="48" t="s">
        <v>449</v>
      </c>
      <c r="D147" s="31" t="s">
        <v>88</v>
      </c>
      <c r="E147" s="31">
        <v>5</v>
      </c>
      <c r="F147" s="153">
        <v>46000</v>
      </c>
      <c r="G147" s="157">
        <v>51000</v>
      </c>
      <c r="H147" s="108">
        <v>49000</v>
      </c>
      <c r="I147" s="38">
        <f t="shared" si="4"/>
        <v>46000</v>
      </c>
      <c r="J147" s="39">
        <f t="shared" si="5"/>
        <v>230000</v>
      </c>
      <c r="K147" s="6"/>
    </row>
    <row r="148" spans="1:12">
      <c r="A148" s="27">
        <v>53</v>
      </c>
      <c r="B148" s="113" t="s">
        <v>412</v>
      </c>
      <c r="C148" s="113"/>
      <c r="D148" s="114" t="s">
        <v>88</v>
      </c>
      <c r="E148" s="115">
        <v>1</v>
      </c>
      <c r="F148" s="154">
        <v>669000</v>
      </c>
      <c r="G148" s="158">
        <v>736000</v>
      </c>
      <c r="H148" s="116">
        <v>716000</v>
      </c>
      <c r="I148" s="38">
        <f t="shared" si="4"/>
        <v>669000</v>
      </c>
      <c r="J148" s="39">
        <f t="shared" si="5"/>
        <v>669000</v>
      </c>
      <c r="K148" s="44"/>
    </row>
    <row r="149" spans="1:12">
      <c r="A149" s="30"/>
      <c r="B149" s="99" t="s">
        <v>72</v>
      </c>
      <c r="C149" s="99"/>
      <c r="D149" s="99"/>
      <c r="E149" s="99"/>
      <c r="F149" s="99"/>
      <c r="G149" s="99"/>
      <c r="H149" s="99"/>
      <c r="I149" s="99"/>
      <c r="J149" s="69">
        <f>SUM(J96:J148)</f>
        <v>99672000</v>
      </c>
      <c r="K149" s="101"/>
    </row>
    <row r="150" spans="1:12" s="211" customFormat="1">
      <c r="A150" s="204"/>
      <c r="B150" s="205"/>
      <c r="C150" s="205"/>
      <c r="D150" s="205"/>
      <c r="E150" s="205"/>
      <c r="F150" s="205"/>
      <c r="G150" s="205"/>
      <c r="H150" s="205"/>
      <c r="I150" s="205"/>
      <c r="J150" s="207"/>
      <c r="K150" s="208"/>
    </row>
    <row r="151" spans="1:12" s="211" customFormat="1">
      <c r="A151" s="204"/>
      <c r="B151" s="205"/>
      <c r="C151" s="205"/>
      <c r="D151" s="205"/>
      <c r="E151" s="205"/>
      <c r="F151" s="205"/>
      <c r="G151" s="205"/>
      <c r="H151" s="205"/>
      <c r="I151" s="205"/>
      <c r="J151" s="207"/>
      <c r="K151" s="208"/>
    </row>
    <row r="153" spans="1:12">
      <c r="A153" s="229" t="s">
        <v>127</v>
      </c>
      <c r="B153" s="230"/>
      <c r="C153" s="230"/>
      <c r="D153" s="230"/>
      <c r="E153" s="230"/>
      <c r="F153" s="230"/>
      <c r="G153" s="230"/>
      <c r="H153" s="230"/>
      <c r="I153" s="230"/>
      <c r="J153" s="230"/>
      <c r="K153" s="230"/>
      <c r="L153" s="263"/>
    </row>
    <row r="154" spans="1:12" ht="15.75" customHeight="1">
      <c r="A154" s="245" t="s">
        <v>2</v>
      </c>
      <c r="B154" s="245" t="s">
        <v>7</v>
      </c>
      <c r="C154" s="245" t="s">
        <v>413</v>
      </c>
      <c r="D154" s="245" t="s">
        <v>8</v>
      </c>
      <c r="E154" s="245" t="s">
        <v>414</v>
      </c>
      <c r="F154" s="239" t="s">
        <v>468</v>
      </c>
      <c r="G154" s="239"/>
      <c r="H154" s="239"/>
      <c r="I154" s="240" t="s">
        <v>415</v>
      </c>
      <c r="J154" s="242" t="s">
        <v>10</v>
      </c>
      <c r="K154" s="242" t="s">
        <v>4</v>
      </c>
      <c r="L154" s="261"/>
    </row>
    <row r="155" spans="1:12" ht="72.75" customHeight="1">
      <c r="A155" s="251"/>
      <c r="B155" s="251"/>
      <c r="C155" s="251"/>
      <c r="D155" s="251"/>
      <c r="E155" s="251"/>
      <c r="F155" s="159" t="s">
        <v>416</v>
      </c>
      <c r="G155" s="161" t="s">
        <v>444</v>
      </c>
      <c r="H155" s="64" t="s">
        <v>445</v>
      </c>
      <c r="I155" s="244"/>
      <c r="J155" s="250" t="s">
        <v>10</v>
      </c>
      <c r="K155" s="250" t="s">
        <v>4</v>
      </c>
      <c r="L155" s="262"/>
    </row>
    <row r="156" spans="1:12">
      <c r="A156" s="65">
        <v>1</v>
      </c>
      <c r="B156" s="66" t="s">
        <v>128</v>
      </c>
      <c r="C156" s="66" t="s">
        <v>66</v>
      </c>
      <c r="D156" s="65" t="s">
        <v>421</v>
      </c>
      <c r="E156" s="65">
        <v>1</v>
      </c>
      <c r="F156" s="160">
        <v>2311100</v>
      </c>
      <c r="G156" s="162">
        <f>2356000*1.1</f>
        <v>2591600</v>
      </c>
      <c r="H156" s="67">
        <f>2226000*1.1</f>
        <v>2448600</v>
      </c>
      <c r="I156" s="117">
        <f t="shared" ref="I156:I213" si="6">MIN(F156:H156)</f>
        <v>2311100</v>
      </c>
      <c r="J156" s="68">
        <f t="shared" ref="J156:J187" si="7">I156*E156</f>
        <v>2311100</v>
      </c>
      <c r="K156" s="65"/>
      <c r="L156" s="222"/>
    </row>
    <row r="157" spans="1:12">
      <c r="A157" s="6">
        <v>2</v>
      </c>
      <c r="B157" s="5" t="s">
        <v>129</v>
      </c>
      <c r="C157" s="5" t="s">
        <v>66</v>
      </c>
      <c r="D157" s="10" t="s">
        <v>421</v>
      </c>
      <c r="E157" s="6">
        <v>1</v>
      </c>
      <c r="F157" s="58">
        <f>1164000*1.1</f>
        <v>1280400</v>
      </c>
      <c r="G157" s="163">
        <f>1419000*1.1</f>
        <v>1560900.0000000002</v>
      </c>
      <c r="H157" s="42">
        <f>1289000*1.1</f>
        <v>1417900</v>
      </c>
      <c r="I157" s="36">
        <f t="shared" si="6"/>
        <v>1280400</v>
      </c>
      <c r="J157" s="37">
        <f t="shared" si="7"/>
        <v>1280400</v>
      </c>
      <c r="K157" s="6"/>
      <c r="L157" s="223"/>
    </row>
    <row r="158" spans="1:12">
      <c r="A158" s="10">
        <v>3</v>
      </c>
      <c r="B158" s="5" t="s">
        <v>130</v>
      </c>
      <c r="C158" s="5" t="s">
        <v>66</v>
      </c>
      <c r="D158" s="6" t="s">
        <v>421</v>
      </c>
      <c r="E158" s="6">
        <v>1</v>
      </c>
      <c r="F158" s="58">
        <f>1202000*1.1</f>
        <v>1322200</v>
      </c>
      <c r="G158" s="163">
        <f>1457000*1.1</f>
        <v>1602700.0000000002</v>
      </c>
      <c r="H158" s="42">
        <f>1327000*1.1</f>
        <v>1459700.0000000002</v>
      </c>
      <c r="I158" s="36">
        <f t="shared" si="6"/>
        <v>1322200</v>
      </c>
      <c r="J158" s="37">
        <f t="shared" si="7"/>
        <v>1322200</v>
      </c>
      <c r="K158" s="6"/>
      <c r="L158" s="223"/>
    </row>
    <row r="159" spans="1:12">
      <c r="A159" s="6">
        <v>4</v>
      </c>
      <c r="B159" s="5" t="s">
        <v>131</v>
      </c>
      <c r="C159" s="5" t="s">
        <v>66</v>
      </c>
      <c r="D159" s="6" t="s">
        <v>421</v>
      </c>
      <c r="E159" s="6">
        <v>1</v>
      </c>
      <c r="F159" s="58">
        <f>1249000*1.1</f>
        <v>1373900</v>
      </c>
      <c r="G159" s="163">
        <f>1504000*1.1</f>
        <v>1654400.0000000002</v>
      </c>
      <c r="H159" s="42">
        <f>1374000*1.1</f>
        <v>1511400.0000000002</v>
      </c>
      <c r="I159" s="36">
        <f t="shared" si="6"/>
        <v>1373900</v>
      </c>
      <c r="J159" s="37">
        <f t="shared" si="7"/>
        <v>1373900</v>
      </c>
      <c r="K159" s="6"/>
      <c r="L159" s="223"/>
    </row>
    <row r="160" spans="1:12">
      <c r="A160" s="10">
        <v>5</v>
      </c>
      <c r="B160" s="9" t="s">
        <v>132</v>
      </c>
      <c r="C160" s="9" t="s">
        <v>66</v>
      </c>
      <c r="D160" s="6" t="s">
        <v>421</v>
      </c>
      <c r="E160" s="10">
        <v>1</v>
      </c>
      <c r="F160" s="58">
        <f>1223000*1.1</f>
        <v>1345300</v>
      </c>
      <c r="G160" s="163">
        <f>1478000*1.1</f>
        <v>1625800.0000000002</v>
      </c>
      <c r="H160" s="42">
        <f>1348000*1.1</f>
        <v>1482800.0000000002</v>
      </c>
      <c r="I160" s="36">
        <f t="shared" si="6"/>
        <v>1345300</v>
      </c>
      <c r="J160" s="37">
        <f t="shared" si="7"/>
        <v>1345300</v>
      </c>
      <c r="K160" s="6"/>
      <c r="L160" s="223"/>
    </row>
    <row r="161" spans="1:12">
      <c r="A161" s="6">
        <v>6</v>
      </c>
      <c r="B161" s="5" t="s">
        <v>133</v>
      </c>
      <c r="C161" s="5" t="s">
        <v>66</v>
      </c>
      <c r="D161" s="6" t="s">
        <v>421</v>
      </c>
      <c r="E161" s="6">
        <v>1</v>
      </c>
      <c r="F161" s="58">
        <f>926000*1.1</f>
        <v>1018600.0000000001</v>
      </c>
      <c r="G161" s="163">
        <f>1181000*1.1</f>
        <v>1299100</v>
      </c>
      <c r="H161" s="42">
        <f>1051000*1.1</f>
        <v>1156100</v>
      </c>
      <c r="I161" s="36">
        <f t="shared" si="6"/>
        <v>1018600.0000000001</v>
      </c>
      <c r="J161" s="37">
        <f t="shared" si="7"/>
        <v>1018600.0000000001</v>
      </c>
      <c r="K161" s="6"/>
      <c r="L161" s="223"/>
    </row>
    <row r="162" spans="1:12">
      <c r="A162" s="10">
        <v>7</v>
      </c>
      <c r="B162" s="5" t="s">
        <v>134</v>
      </c>
      <c r="C162" s="5" t="s">
        <v>66</v>
      </c>
      <c r="D162" s="6" t="s">
        <v>421</v>
      </c>
      <c r="E162" s="6">
        <v>1</v>
      </c>
      <c r="F162" s="58">
        <f>2159000*1.1</f>
        <v>2374900</v>
      </c>
      <c r="G162" s="163">
        <f>2414000*1.1</f>
        <v>2655400</v>
      </c>
      <c r="H162" s="42">
        <f>2284000*1.1</f>
        <v>2512400</v>
      </c>
      <c r="I162" s="36">
        <f t="shared" si="6"/>
        <v>2374900</v>
      </c>
      <c r="J162" s="37">
        <f t="shared" si="7"/>
        <v>2374900</v>
      </c>
      <c r="K162" s="6"/>
      <c r="L162" s="223"/>
    </row>
    <row r="163" spans="1:12">
      <c r="A163" s="6">
        <v>8</v>
      </c>
      <c r="B163" s="5" t="s">
        <v>135</v>
      </c>
      <c r="C163" s="5" t="s">
        <v>66</v>
      </c>
      <c r="D163" s="6" t="s">
        <v>421</v>
      </c>
      <c r="E163" s="6">
        <v>1</v>
      </c>
      <c r="F163" s="58">
        <f>921000*1.1</f>
        <v>1013100.0000000001</v>
      </c>
      <c r="G163" s="163">
        <f>1176000*1.1</f>
        <v>1293600</v>
      </c>
      <c r="H163" s="42">
        <f>1046000*1.1</f>
        <v>1150600</v>
      </c>
      <c r="I163" s="36">
        <f t="shared" si="6"/>
        <v>1013100.0000000001</v>
      </c>
      <c r="J163" s="37">
        <f t="shared" si="7"/>
        <v>1013100.0000000001</v>
      </c>
      <c r="K163" s="6"/>
      <c r="L163" s="223"/>
    </row>
    <row r="164" spans="1:12">
      <c r="A164" s="10">
        <v>9</v>
      </c>
      <c r="B164" s="5" t="s">
        <v>136</v>
      </c>
      <c r="C164" s="5" t="s">
        <v>17</v>
      </c>
      <c r="D164" s="6" t="s">
        <v>29</v>
      </c>
      <c r="E164" s="6">
        <v>1</v>
      </c>
      <c r="F164" s="58">
        <f>921000*1.1</f>
        <v>1013100.0000000001</v>
      </c>
      <c r="G164" s="163">
        <f>1176000*1.1</f>
        <v>1293600</v>
      </c>
      <c r="H164" s="42">
        <f>1046000*1.1</f>
        <v>1150600</v>
      </c>
      <c r="I164" s="36">
        <f t="shared" si="6"/>
        <v>1013100.0000000001</v>
      </c>
      <c r="J164" s="37">
        <f t="shared" si="7"/>
        <v>1013100.0000000001</v>
      </c>
      <c r="K164" s="6"/>
      <c r="L164" s="223"/>
    </row>
    <row r="165" spans="1:12">
      <c r="A165" s="6">
        <v>10</v>
      </c>
      <c r="B165" s="5" t="s">
        <v>137</v>
      </c>
      <c r="C165" s="5" t="s">
        <v>66</v>
      </c>
      <c r="D165" s="6" t="s">
        <v>421</v>
      </c>
      <c r="E165" s="6">
        <v>1</v>
      </c>
      <c r="F165" s="58">
        <f>921000*1.1</f>
        <v>1013100.0000000001</v>
      </c>
      <c r="G165" s="163">
        <f>1176000*1.1</f>
        <v>1293600</v>
      </c>
      <c r="H165" s="42">
        <f>1046000*1.1</f>
        <v>1150600</v>
      </c>
      <c r="I165" s="36">
        <f t="shared" si="6"/>
        <v>1013100.0000000001</v>
      </c>
      <c r="J165" s="37">
        <f t="shared" si="7"/>
        <v>1013100.0000000001</v>
      </c>
      <c r="K165" s="6"/>
      <c r="L165" s="223"/>
    </row>
    <row r="166" spans="1:12" ht="31.5">
      <c r="A166" s="10">
        <v>11</v>
      </c>
      <c r="B166" s="5" t="s">
        <v>138</v>
      </c>
      <c r="C166" s="5" t="s">
        <v>66</v>
      </c>
      <c r="D166" s="6" t="s">
        <v>421</v>
      </c>
      <c r="E166" s="6">
        <v>1</v>
      </c>
      <c r="F166" s="58">
        <f>921000*1.1</f>
        <v>1013100.0000000001</v>
      </c>
      <c r="G166" s="163">
        <f>1176000*1.1</f>
        <v>1293600</v>
      </c>
      <c r="H166" s="42">
        <f>1046000*1.1</f>
        <v>1150600</v>
      </c>
      <c r="I166" s="36">
        <f t="shared" si="6"/>
        <v>1013100.0000000001</v>
      </c>
      <c r="J166" s="37">
        <f t="shared" si="7"/>
        <v>1013100.0000000001</v>
      </c>
      <c r="K166" s="6"/>
      <c r="L166" s="223"/>
    </row>
    <row r="167" spans="1:12">
      <c r="A167" s="6">
        <v>12</v>
      </c>
      <c r="B167" s="9" t="s">
        <v>139</v>
      </c>
      <c r="C167" s="9" t="s">
        <v>66</v>
      </c>
      <c r="D167" s="10" t="s">
        <v>421</v>
      </c>
      <c r="E167" s="10">
        <v>1</v>
      </c>
      <c r="F167" s="58">
        <f>883000*1.1</f>
        <v>971300.00000000012</v>
      </c>
      <c r="G167" s="163">
        <f>1138000*1.1</f>
        <v>1251800</v>
      </c>
      <c r="H167" s="42">
        <f>1008000*1.1</f>
        <v>1108800</v>
      </c>
      <c r="I167" s="36">
        <f t="shared" si="6"/>
        <v>971300.00000000012</v>
      </c>
      <c r="J167" s="37">
        <f t="shared" si="7"/>
        <v>971300.00000000012</v>
      </c>
      <c r="K167" s="6"/>
      <c r="L167" s="223"/>
    </row>
    <row r="168" spans="1:12">
      <c r="A168" s="10">
        <v>13</v>
      </c>
      <c r="B168" s="5" t="s">
        <v>140</v>
      </c>
      <c r="C168" s="5" t="s">
        <v>66</v>
      </c>
      <c r="D168" s="6" t="s">
        <v>421</v>
      </c>
      <c r="E168" s="6">
        <v>1</v>
      </c>
      <c r="F168" s="58">
        <f>986000*1.1</f>
        <v>1084600</v>
      </c>
      <c r="G168" s="163">
        <f>1241000*1.1</f>
        <v>1365100</v>
      </c>
      <c r="H168" s="42">
        <f>1111000*1.1</f>
        <v>1222100</v>
      </c>
      <c r="I168" s="36">
        <f t="shared" si="6"/>
        <v>1084600</v>
      </c>
      <c r="J168" s="37">
        <f t="shared" si="7"/>
        <v>1084600</v>
      </c>
      <c r="K168" s="6"/>
      <c r="L168" s="223"/>
    </row>
    <row r="169" spans="1:12">
      <c r="A169" s="6">
        <v>14</v>
      </c>
      <c r="B169" s="5" t="s">
        <v>95</v>
      </c>
      <c r="C169" s="9" t="s">
        <v>26</v>
      </c>
      <c r="D169" s="16" t="s">
        <v>82</v>
      </c>
      <c r="E169" s="6">
        <v>2</v>
      </c>
      <c r="F169" s="58">
        <f>581000*1.1</f>
        <v>639100</v>
      </c>
      <c r="G169" s="164">
        <f>836000*1.1</f>
        <v>919600.00000000012</v>
      </c>
      <c r="H169" s="43">
        <f>706000*1.1</f>
        <v>776600.00000000012</v>
      </c>
      <c r="I169" s="36">
        <f t="shared" si="6"/>
        <v>639100</v>
      </c>
      <c r="J169" s="37">
        <f t="shared" si="7"/>
        <v>1278200</v>
      </c>
      <c r="K169" s="10"/>
      <c r="L169" s="222"/>
    </row>
    <row r="170" spans="1:12">
      <c r="A170" s="10">
        <v>15</v>
      </c>
      <c r="B170" s="5" t="s">
        <v>141</v>
      </c>
      <c r="C170" s="5" t="s">
        <v>66</v>
      </c>
      <c r="D170" s="6" t="s">
        <v>422</v>
      </c>
      <c r="E170" s="6">
        <v>1</v>
      </c>
      <c r="F170" s="58">
        <f>1419000*1.1</f>
        <v>1560900.0000000002</v>
      </c>
      <c r="G170" s="163">
        <f>1674000*1.1</f>
        <v>1841400.0000000002</v>
      </c>
      <c r="H170" s="42">
        <f>1544000*1.1</f>
        <v>1698400.0000000002</v>
      </c>
      <c r="I170" s="36">
        <f t="shared" si="6"/>
        <v>1560900.0000000002</v>
      </c>
      <c r="J170" s="37">
        <f t="shared" si="7"/>
        <v>1560900.0000000002</v>
      </c>
      <c r="K170" s="6"/>
      <c r="L170" s="223"/>
    </row>
    <row r="171" spans="1:12">
      <c r="A171" s="6">
        <v>16</v>
      </c>
      <c r="B171" s="5" t="s">
        <v>142</v>
      </c>
      <c r="C171" s="5" t="s">
        <v>66</v>
      </c>
      <c r="D171" s="6" t="s">
        <v>421</v>
      </c>
      <c r="E171" s="6">
        <v>1</v>
      </c>
      <c r="F171" s="58">
        <f>1108000*1.1</f>
        <v>1218800</v>
      </c>
      <c r="G171" s="163">
        <f>1363000*1.1</f>
        <v>1499300.0000000002</v>
      </c>
      <c r="H171" s="42">
        <f>1233000*1.1</f>
        <v>1356300</v>
      </c>
      <c r="I171" s="36">
        <f t="shared" si="6"/>
        <v>1218800</v>
      </c>
      <c r="J171" s="37">
        <f t="shared" si="7"/>
        <v>1218800</v>
      </c>
      <c r="K171" s="6"/>
      <c r="L171" s="223"/>
    </row>
    <row r="172" spans="1:12">
      <c r="A172" s="10">
        <v>17</v>
      </c>
      <c r="B172" s="5" t="s">
        <v>143</v>
      </c>
      <c r="C172" s="5" t="s">
        <v>66</v>
      </c>
      <c r="D172" s="6" t="s">
        <v>421</v>
      </c>
      <c r="E172" s="6">
        <v>1</v>
      </c>
      <c r="F172" s="58">
        <f>1097000*1.1</f>
        <v>1206700</v>
      </c>
      <c r="G172" s="163">
        <f>1352000*1.1</f>
        <v>1487200.0000000002</v>
      </c>
      <c r="H172" s="42">
        <f>1222000*1.1</f>
        <v>1344200</v>
      </c>
      <c r="I172" s="36">
        <f t="shared" si="6"/>
        <v>1206700</v>
      </c>
      <c r="J172" s="37">
        <f t="shared" si="7"/>
        <v>1206700</v>
      </c>
      <c r="K172" s="6"/>
      <c r="L172" s="223"/>
    </row>
    <row r="173" spans="1:12">
      <c r="A173" s="6">
        <v>18</v>
      </c>
      <c r="B173" s="5" t="s">
        <v>144</v>
      </c>
      <c r="C173" s="5" t="s">
        <v>66</v>
      </c>
      <c r="D173" s="6" t="s">
        <v>421</v>
      </c>
      <c r="E173" s="6">
        <v>1</v>
      </c>
      <c r="F173" s="58">
        <f>851000*1.1</f>
        <v>936100.00000000012</v>
      </c>
      <c r="G173" s="163">
        <f>1106000*1.1</f>
        <v>1216600</v>
      </c>
      <c r="H173" s="42">
        <f>976000*1.1</f>
        <v>1073600</v>
      </c>
      <c r="I173" s="36">
        <f t="shared" si="6"/>
        <v>936100.00000000012</v>
      </c>
      <c r="J173" s="37">
        <f t="shared" si="7"/>
        <v>936100.00000000012</v>
      </c>
      <c r="K173" s="6"/>
      <c r="L173" s="223"/>
    </row>
    <row r="174" spans="1:12">
      <c r="A174" s="10">
        <v>19</v>
      </c>
      <c r="B174" s="5" t="s">
        <v>145</v>
      </c>
      <c r="C174" s="5" t="s">
        <v>66</v>
      </c>
      <c r="D174" s="6" t="s">
        <v>421</v>
      </c>
      <c r="E174" s="6">
        <v>1</v>
      </c>
      <c r="F174" s="58">
        <f>1424000*1.1</f>
        <v>1566400.0000000002</v>
      </c>
      <c r="G174" s="163">
        <f>1679000*1.1</f>
        <v>1846900.0000000002</v>
      </c>
      <c r="H174" s="42">
        <f>1549000*1.1</f>
        <v>1703900.0000000002</v>
      </c>
      <c r="I174" s="36">
        <f t="shared" si="6"/>
        <v>1566400.0000000002</v>
      </c>
      <c r="J174" s="37">
        <f t="shared" si="7"/>
        <v>1566400.0000000002</v>
      </c>
      <c r="K174" s="6"/>
      <c r="L174" s="223"/>
    </row>
    <row r="175" spans="1:12">
      <c r="A175" s="6">
        <v>20</v>
      </c>
      <c r="B175" s="5" t="s">
        <v>146</v>
      </c>
      <c r="C175" s="5" t="s">
        <v>66</v>
      </c>
      <c r="D175" s="6" t="s">
        <v>421</v>
      </c>
      <c r="E175" s="6">
        <v>1</v>
      </c>
      <c r="F175" s="58">
        <f>1515000*1.1</f>
        <v>1666500.0000000002</v>
      </c>
      <c r="G175" s="163">
        <f>1770000*1.1</f>
        <v>1947000.0000000002</v>
      </c>
      <c r="H175" s="42">
        <f>1640000*1.1</f>
        <v>1804000.0000000002</v>
      </c>
      <c r="I175" s="36">
        <f t="shared" si="6"/>
        <v>1666500.0000000002</v>
      </c>
      <c r="J175" s="37">
        <f t="shared" si="7"/>
        <v>1666500.0000000002</v>
      </c>
      <c r="K175" s="6"/>
      <c r="L175" s="223"/>
    </row>
    <row r="176" spans="1:12">
      <c r="A176" s="10">
        <v>21</v>
      </c>
      <c r="B176" s="5" t="s">
        <v>147</v>
      </c>
      <c r="C176" s="5" t="s">
        <v>66</v>
      </c>
      <c r="D176" s="6" t="s">
        <v>421</v>
      </c>
      <c r="E176" s="6">
        <v>1</v>
      </c>
      <c r="F176" s="58">
        <f>1065000*1.1</f>
        <v>1171500</v>
      </c>
      <c r="G176" s="163">
        <f>1320000*1.1</f>
        <v>1452000.0000000002</v>
      </c>
      <c r="H176" s="42">
        <f>1190000*1.1</f>
        <v>1309000</v>
      </c>
      <c r="I176" s="36">
        <f t="shared" si="6"/>
        <v>1171500</v>
      </c>
      <c r="J176" s="37">
        <f t="shared" si="7"/>
        <v>1171500</v>
      </c>
      <c r="K176" s="6"/>
      <c r="L176" s="223"/>
    </row>
    <row r="177" spans="1:12">
      <c r="A177" s="6">
        <v>22</v>
      </c>
      <c r="B177" s="5" t="s">
        <v>148</v>
      </c>
      <c r="C177" s="5" t="s">
        <v>66</v>
      </c>
      <c r="D177" s="6" t="s">
        <v>421</v>
      </c>
      <c r="E177" s="6">
        <v>1</v>
      </c>
      <c r="F177" s="58">
        <f>921000*1.1</f>
        <v>1013100.0000000001</v>
      </c>
      <c r="G177" s="163">
        <f>1176000*1.1</f>
        <v>1293600</v>
      </c>
      <c r="H177" s="42">
        <f>1046000*1.1</f>
        <v>1150600</v>
      </c>
      <c r="I177" s="36">
        <f t="shared" si="6"/>
        <v>1013100.0000000001</v>
      </c>
      <c r="J177" s="37">
        <f t="shared" si="7"/>
        <v>1013100.0000000001</v>
      </c>
      <c r="K177" s="6"/>
      <c r="L177" s="223"/>
    </row>
    <row r="178" spans="1:12">
      <c r="A178" s="10">
        <v>23</v>
      </c>
      <c r="B178" s="5" t="s">
        <v>149</v>
      </c>
      <c r="C178" s="5" t="s">
        <v>66</v>
      </c>
      <c r="D178" s="6" t="s">
        <v>421</v>
      </c>
      <c r="E178" s="6">
        <v>1</v>
      </c>
      <c r="F178" s="58">
        <f>5187000*1.1</f>
        <v>5705700</v>
      </c>
      <c r="G178" s="163">
        <f>5442000*1.1</f>
        <v>5986200.0000000009</v>
      </c>
      <c r="H178" s="42">
        <f>5312000*1.1</f>
        <v>5843200.0000000009</v>
      </c>
      <c r="I178" s="36">
        <f t="shared" si="6"/>
        <v>5705700</v>
      </c>
      <c r="J178" s="37">
        <f t="shared" si="7"/>
        <v>5705700</v>
      </c>
      <c r="K178" s="6"/>
      <c r="L178" s="223"/>
    </row>
    <row r="179" spans="1:12">
      <c r="A179" s="6">
        <v>24</v>
      </c>
      <c r="B179" s="5" t="s">
        <v>150</v>
      </c>
      <c r="C179" s="5" t="s">
        <v>66</v>
      </c>
      <c r="D179" s="6" t="s">
        <v>421</v>
      </c>
      <c r="E179" s="6">
        <v>1</v>
      </c>
      <c r="F179" s="58">
        <f>757000*1.1</f>
        <v>832700.00000000012</v>
      </c>
      <c r="G179" s="163">
        <f>1012000*1.1</f>
        <v>1113200</v>
      </c>
      <c r="H179" s="42">
        <f>882000*1.1</f>
        <v>970200.00000000012</v>
      </c>
      <c r="I179" s="36">
        <f t="shared" si="6"/>
        <v>832700.00000000012</v>
      </c>
      <c r="J179" s="37">
        <f t="shared" si="7"/>
        <v>832700.00000000012</v>
      </c>
      <c r="K179" s="6"/>
      <c r="L179" s="223"/>
    </row>
    <row r="180" spans="1:12">
      <c r="A180" s="10">
        <v>25</v>
      </c>
      <c r="B180" s="5" t="s">
        <v>151</v>
      </c>
      <c r="C180" s="5" t="s">
        <v>66</v>
      </c>
      <c r="D180" s="6" t="s">
        <v>421</v>
      </c>
      <c r="E180" s="6">
        <v>2</v>
      </c>
      <c r="F180" s="58">
        <f>949000*1.1</f>
        <v>1043900.0000000001</v>
      </c>
      <c r="G180" s="163">
        <f>1204000*1.1</f>
        <v>1324400</v>
      </c>
      <c r="H180" s="42">
        <f>1074000*1.1</f>
        <v>1181400</v>
      </c>
      <c r="I180" s="36">
        <f t="shared" si="6"/>
        <v>1043900.0000000001</v>
      </c>
      <c r="J180" s="37">
        <f t="shared" si="7"/>
        <v>2087800.0000000002</v>
      </c>
      <c r="K180" s="6"/>
      <c r="L180" s="223"/>
    </row>
    <row r="181" spans="1:12">
      <c r="A181" s="6">
        <v>26</v>
      </c>
      <c r="B181" s="5" t="s">
        <v>152</v>
      </c>
      <c r="C181" s="5" t="s">
        <v>66</v>
      </c>
      <c r="D181" s="6" t="s">
        <v>421</v>
      </c>
      <c r="E181" s="6">
        <v>1</v>
      </c>
      <c r="F181" s="58">
        <f>878000*1.1</f>
        <v>965800.00000000012</v>
      </c>
      <c r="G181" s="163">
        <f>1133000*1.1</f>
        <v>1246300</v>
      </c>
      <c r="H181" s="42">
        <f>1003000*1.1</f>
        <v>1103300</v>
      </c>
      <c r="I181" s="36">
        <f t="shared" si="6"/>
        <v>965800.00000000012</v>
      </c>
      <c r="J181" s="37">
        <f t="shared" si="7"/>
        <v>965800.00000000012</v>
      </c>
      <c r="K181" s="6"/>
      <c r="L181" s="223"/>
    </row>
    <row r="182" spans="1:12">
      <c r="A182" s="10">
        <v>27</v>
      </c>
      <c r="B182" s="5" t="s">
        <v>153</v>
      </c>
      <c r="C182" s="5" t="s">
        <v>66</v>
      </c>
      <c r="D182" s="6" t="s">
        <v>421</v>
      </c>
      <c r="E182" s="6">
        <v>2</v>
      </c>
      <c r="F182" s="58">
        <f>1412000*1.1</f>
        <v>1553200.0000000002</v>
      </c>
      <c r="G182" s="163">
        <f>1667000*1.1</f>
        <v>1833700.0000000002</v>
      </c>
      <c r="H182" s="42">
        <f>1537000*1.1</f>
        <v>1690700.0000000002</v>
      </c>
      <c r="I182" s="36">
        <f t="shared" si="6"/>
        <v>1553200.0000000002</v>
      </c>
      <c r="J182" s="37">
        <f t="shared" si="7"/>
        <v>3106400.0000000005</v>
      </c>
      <c r="K182" s="6"/>
      <c r="L182" s="223"/>
    </row>
    <row r="183" spans="1:12">
      <c r="A183" s="6">
        <v>28</v>
      </c>
      <c r="B183" s="5" t="s">
        <v>154</v>
      </c>
      <c r="C183" s="5" t="s">
        <v>66</v>
      </c>
      <c r="D183" s="6" t="s">
        <v>421</v>
      </c>
      <c r="E183" s="6">
        <v>2</v>
      </c>
      <c r="F183" s="58">
        <f>1324000*1.1</f>
        <v>1456400.0000000002</v>
      </c>
      <c r="G183" s="163">
        <f>1579000*1.1</f>
        <v>1736900.0000000002</v>
      </c>
      <c r="H183" s="42">
        <f>1449000*1.1</f>
        <v>1593900.0000000002</v>
      </c>
      <c r="I183" s="36">
        <f t="shared" si="6"/>
        <v>1456400.0000000002</v>
      </c>
      <c r="J183" s="37">
        <f t="shared" si="7"/>
        <v>2912800.0000000005</v>
      </c>
      <c r="K183" s="6"/>
      <c r="L183" s="223"/>
    </row>
    <row r="184" spans="1:12">
      <c r="A184" s="10">
        <v>29</v>
      </c>
      <c r="B184" s="5" t="s">
        <v>155</v>
      </c>
      <c r="C184" s="5" t="s">
        <v>66</v>
      </c>
      <c r="D184" s="6" t="s">
        <v>421</v>
      </c>
      <c r="E184" s="6">
        <v>2</v>
      </c>
      <c r="F184" s="58">
        <f>975000*1.1</f>
        <v>1072500</v>
      </c>
      <c r="G184" s="163">
        <f>1230000*1.1</f>
        <v>1353000</v>
      </c>
      <c r="H184" s="42">
        <f>1100000*1.1</f>
        <v>1210000</v>
      </c>
      <c r="I184" s="36">
        <f t="shared" si="6"/>
        <v>1072500</v>
      </c>
      <c r="J184" s="37">
        <f t="shared" si="7"/>
        <v>2145000</v>
      </c>
      <c r="K184" s="6"/>
      <c r="L184" s="223"/>
    </row>
    <row r="185" spans="1:12">
      <c r="A185" s="6">
        <v>30</v>
      </c>
      <c r="B185" s="5" t="s">
        <v>156</v>
      </c>
      <c r="C185" s="5" t="s">
        <v>17</v>
      </c>
      <c r="D185" s="6" t="s">
        <v>421</v>
      </c>
      <c r="E185" s="6">
        <v>1</v>
      </c>
      <c r="F185" s="58">
        <f>819000*1.1</f>
        <v>900900.00000000012</v>
      </c>
      <c r="G185" s="163">
        <f>1074000*1.1</f>
        <v>1181400</v>
      </c>
      <c r="H185" s="42">
        <f>944000*1.1</f>
        <v>1038400.0000000001</v>
      </c>
      <c r="I185" s="36">
        <f t="shared" si="6"/>
        <v>900900.00000000012</v>
      </c>
      <c r="J185" s="37">
        <f t="shared" si="7"/>
        <v>900900.00000000012</v>
      </c>
      <c r="K185" s="6"/>
      <c r="L185" s="223"/>
    </row>
    <row r="186" spans="1:12">
      <c r="A186" s="10">
        <v>31</v>
      </c>
      <c r="B186" s="5" t="s">
        <v>157</v>
      </c>
      <c r="C186" s="5" t="s">
        <v>66</v>
      </c>
      <c r="D186" s="6" t="s">
        <v>421</v>
      </c>
      <c r="E186" s="6">
        <v>1</v>
      </c>
      <c r="F186" s="58">
        <f>788000*1.1</f>
        <v>866800.00000000012</v>
      </c>
      <c r="G186" s="163">
        <f>1043000*1.1</f>
        <v>1147300</v>
      </c>
      <c r="H186" s="42">
        <f>913000*1.1</f>
        <v>1004300.0000000001</v>
      </c>
      <c r="I186" s="36">
        <f t="shared" si="6"/>
        <v>866800.00000000012</v>
      </c>
      <c r="J186" s="37">
        <f t="shared" si="7"/>
        <v>866800.00000000012</v>
      </c>
      <c r="K186" s="6"/>
      <c r="L186" s="223"/>
    </row>
    <row r="187" spans="1:12">
      <c r="A187" s="6">
        <v>32</v>
      </c>
      <c r="B187" s="5" t="s">
        <v>158</v>
      </c>
      <c r="C187" s="5" t="s">
        <v>66</v>
      </c>
      <c r="D187" s="6" t="s">
        <v>421</v>
      </c>
      <c r="E187" s="6">
        <v>1</v>
      </c>
      <c r="F187" s="58">
        <f>887000*1.1</f>
        <v>975700.00000000012</v>
      </c>
      <c r="G187" s="163">
        <f>1142000*1.1</f>
        <v>1256200</v>
      </c>
      <c r="H187" s="42">
        <f>1012000*1.1</f>
        <v>1113200</v>
      </c>
      <c r="I187" s="36">
        <f t="shared" si="6"/>
        <v>975700.00000000012</v>
      </c>
      <c r="J187" s="37">
        <f t="shared" si="7"/>
        <v>975700.00000000012</v>
      </c>
      <c r="K187" s="6"/>
      <c r="L187" s="223"/>
    </row>
    <row r="188" spans="1:12">
      <c r="A188" s="10">
        <v>33</v>
      </c>
      <c r="B188" s="5" t="s">
        <v>159</v>
      </c>
      <c r="C188" s="5" t="s">
        <v>66</v>
      </c>
      <c r="D188" s="6" t="s">
        <v>421</v>
      </c>
      <c r="E188" s="6">
        <v>2</v>
      </c>
      <c r="F188" s="58">
        <f>1067000*1.1</f>
        <v>1173700</v>
      </c>
      <c r="G188" s="163">
        <f>1322000*1.1</f>
        <v>1454200.0000000002</v>
      </c>
      <c r="H188" s="42">
        <f>1192000*1.1</f>
        <v>1311200</v>
      </c>
      <c r="I188" s="36">
        <f t="shared" si="6"/>
        <v>1173700</v>
      </c>
      <c r="J188" s="37">
        <f t="shared" ref="J188:J213" si="8">I188*E188</f>
        <v>2347400</v>
      </c>
      <c r="K188" s="6"/>
      <c r="L188" s="223"/>
    </row>
    <row r="189" spans="1:12">
      <c r="A189" s="6">
        <v>34</v>
      </c>
      <c r="B189" s="5" t="s">
        <v>160</v>
      </c>
      <c r="C189" s="5" t="s">
        <v>66</v>
      </c>
      <c r="D189" s="6" t="s">
        <v>421</v>
      </c>
      <c r="E189" s="6">
        <v>2</v>
      </c>
      <c r="F189" s="58">
        <f>1085000*1.1</f>
        <v>1193500</v>
      </c>
      <c r="G189" s="163">
        <f>1340000*1.1</f>
        <v>1474000.0000000002</v>
      </c>
      <c r="H189" s="42">
        <f>1210000*1.1</f>
        <v>1331000</v>
      </c>
      <c r="I189" s="36">
        <f t="shared" si="6"/>
        <v>1193500</v>
      </c>
      <c r="J189" s="37">
        <f t="shared" si="8"/>
        <v>2387000</v>
      </c>
      <c r="K189" s="6"/>
      <c r="L189" s="223"/>
    </row>
    <row r="190" spans="1:12">
      <c r="A190" s="10">
        <v>35</v>
      </c>
      <c r="B190" s="5" t="s">
        <v>161</v>
      </c>
      <c r="C190" s="5" t="s">
        <v>66</v>
      </c>
      <c r="D190" s="6" t="s">
        <v>421</v>
      </c>
      <c r="E190" s="6">
        <v>1</v>
      </c>
      <c r="F190" s="58">
        <f>1147000*1.1</f>
        <v>1261700</v>
      </c>
      <c r="G190" s="163">
        <f>1402000*1.1</f>
        <v>1542200.0000000002</v>
      </c>
      <c r="H190" s="42">
        <f>1272000*1.1</f>
        <v>1399200</v>
      </c>
      <c r="I190" s="36">
        <f t="shared" si="6"/>
        <v>1261700</v>
      </c>
      <c r="J190" s="37">
        <f t="shared" si="8"/>
        <v>1261700</v>
      </c>
      <c r="K190" s="6"/>
      <c r="L190" s="223"/>
    </row>
    <row r="191" spans="1:12">
      <c r="A191" s="6">
        <v>36</v>
      </c>
      <c r="B191" s="5" t="s">
        <v>162</v>
      </c>
      <c r="C191" s="5" t="s">
        <v>17</v>
      </c>
      <c r="D191" s="6" t="s">
        <v>421</v>
      </c>
      <c r="E191" s="6">
        <v>1</v>
      </c>
      <c r="F191" s="58">
        <f>1102000*1.1</f>
        <v>1212200</v>
      </c>
      <c r="G191" s="163">
        <f>1357000*1.1</f>
        <v>1492700.0000000002</v>
      </c>
      <c r="H191" s="42">
        <f>1227000*1.1</f>
        <v>1349700</v>
      </c>
      <c r="I191" s="36">
        <f t="shared" si="6"/>
        <v>1212200</v>
      </c>
      <c r="J191" s="37">
        <f t="shared" si="8"/>
        <v>1212200</v>
      </c>
      <c r="K191" s="6"/>
      <c r="L191" s="223"/>
    </row>
    <row r="192" spans="1:12" ht="47.25">
      <c r="A192" s="10">
        <v>37</v>
      </c>
      <c r="B192" s="5" t="s">
        <v>163</v>
      </c>
      <c r="C192" s="5" t="s">
        <v>66</v>
      </c>
      <c r="D192" s="6" t="s">
        <v>421</v>
      </c>
      <c r="E192" s="6">
        <v>2</v>
      </c>
      <c r="F192" s="58">
        <f>1145000*1.1</f>
        <v>1259500</v>
      </c>
      <c r="G192" s="163">
        <f>1400000*1.1</f>
        <v>1540000.0000000002</v>
      </c>
      <c r="H192" s="42">
        <f>1270000*1.1</f>
        <v>1397000</v>
      </c>
      <c r="I192" s="36">
        <f t="shared" si="6"/>
        <v>1259500</v>
      </c>
      <c r="J192" s="37">
        <f t="shared" si="8"/>
        <v>2519000</v>
      </c>
      <c r="K192" s="6"/>
      <c r="L192" s="223"/>
    </row>
    <row r="193" spans="1:12">
      <c r="A193" s="6">
        <v>38</v>
      </c>
      <c r="B193" s="5" t="s">
        <v>164</v>
      </c>
      <c r="C193" s="5" t="s">
        <v>66</v>
      </c>
      <c r="D193" s="6" t="s">
        <v>421</v>
      </c>
      <c r="E193" s="6">
        <v>2</v>
      </c>
      <c r="F193" s="58">
        <f>1188000*1.1</f>
        <v>1306800</v>
      </c>
      <c r="G193" s="163">
        <f>1443000*1.1</f>
        <v>1587300.0000000002</v>
      </c>
      <c r="H193" s="42">
        <f>1313000*1.1</f>
        <v>1444300.0000000002</v>
      </c>
      <c r="I193" s="36">
        <f t="shared" si="6"/>
        <v>1306800</v>
      </c>
      <c r="J193" s="37">
        <f t="shared" si="8"/>
        <v>2613600</v>
      </c>
      <c r="K193" s="6"/>
      <c r="L193" s="223"/>
    </row>
    <row r="194" spans="1:12">
      <c r="A194" s="10">
        <v>39</v>
      </c>
      <c r="B194" s="5" t="s">
        <v>165</v>
      </c>
      <c r="C194" s="5" t="s">
        <v>66</v>
      </c>
      <c r="D194" s="6" t="s">
        <v>421</v>
      </c>
      <c r="E194" s="6">
        <v>2</v>
      </c>
      <c r="F194" s="58">
        <f>1019000*1.1</f>
        <v>1120900</v>
      </c>
      <c r="G194" s="163">
        <f>1274000*1.1</f>
        <v>1401400</v>
      </c>
      <c r="H194" s="42">
        <f>1144000*1.1</f>
        <v>1258400</v>
      </c>
      <c r="I194" s="36">
        <f t="shared" si="6"/>
        <v>1120900</v>
      </c>
      <c r="J194" s="37">
        <f t="shared" si="8"/>
        <v>2241800</v>
      </c>
      <c r="K194" s="6"/>
      <c r="L194" s="223"/>
    </row>
    <row r="195" spans="1:12">
      <c r="A195" s="6">
        <v>40</v>
      </c>
      <c r="B195" s="5" t="s">
        <v>166</v>
      </c>
      <c r="C195" s="5" t="s">
        <v>66</v>
      </c>
      <c r="D195" s="6" t="s">
        <v>421</v>
      </c>
      <c r="E195" s="6">
        <v>2</v>
      </c>
      <c r="F195" s="58">
        <f>949000*1.1</f>
        <v>1043900.0000000001</v>
      </c>
      <c r="G195" s="163">
        <f>1204000*1.1</f>
        <v>1324400</v>
      </c>
      <c r="H195" s="42">
        <f>1074000*1.1</f>
        <v>1181400</v>
      </c>
      <c r="I195" s="36">
        <f t="shared" si="6"/>
        <v>1043900.0000000001</v>
      </c>
      <c r="J195" s="37">
        <f t="shared" si="8"/>
        <v>2087800.0000000002</v>
      </c>
      <c r="K195" s="6"/>
      <c r="L195" s="223"/>
    </row>
    <row r="196" spans="1:12">
      <c r="A196" s="10">
        <v>41</v>
      </c>
      <c r="B196" s="5" t="s">
        <v>167</v>
      </c>
      <c r="C196" s="5" t="s">
        <v>66</v>
      </c>
      <c r="D196" s="6" t="s">
        <v>421</v>
      </c>
      <c r="E196" s="6">
        <v>2</v>
      </c>
      <c r="F196" s="58">
        <f>986000*1.1</f>
        <v>1084600</v>
      </c>
      <c r="G196" s="163">
        <f>1241000*1.1</f>
        <v>1365100</v>
      </c>
      <c r="H196" s="42">
        <f>1111000*1.1</f>
        <v>1222100</v>
      </c>
      <c r="I196" s="36">
        <f t="shared" si="6"/>
        <v>1084600</v>
      </c>
      <c r="J196" s="37">
        <f t="shared" si="8"/>
        <v>2169200</v>
      </c>
      <c r="K196" s="6"/>
      <c r="L196" s="223"/>
    </row>
    <row r="197" spans="1:12">
      <c r="A197" s="6">
        <v>42</v>
      </c>
      <c r="B197" s="5" t="s">
        <v>168</v>
      </c>
      <c r="C197" s="5" t="s">
        <v>66</v>
      </c>
      <c r="D197" s="6" t="s">
        <v>421</v>
      </c>
      <c r="E197" s="6">
        <v>2</v>
      </c>
      <c r="F197" s="58">
        <f>986000*1.1</f>
        <v>1084600</v>
      </c>
      <c r="G197" s="163">
        <f>1241000*1.1</f>
        <v>1365100</v>
      </c>
      <c r="H197" s="42">
        <f>1111000*1.1</f>
        <v>1222100</v>
      </c>
      <c r="I197" s="36">
        <f t="shared" si="6"/>
        <v>1084600</v>
      </c>
      <c r="J197" s="37">
        <f t="shared" si="8"/>
        <v>2169200</v>
      </c>
      <c r="K197" s="6"/>
      <c r="L197" s="223"/>
    </row>
    <row r="198" spans="1:12">
      <c r="A198" s="10">
        <v>43</v>
      </c>
      <c r="B198" s="5" t="s">
        <v>169</v>
      </c>
      <c r="C198" s="5" t="s">
        <v>66</v>
      </c>
      <c r="D198" s="6" t="s">
        <v>421</v>
      </c>
      <c r="E198" s="6">
        <v>2</v>
      </c>
      <c r="F198" s="58">
        <f>1108000*1.1</f>
        <v>1218800</v>
      </c>
      <c r="G198" s="163">
        <f>1363000*1.1</f>
        <v>1499300.0000000002</v>
      </c>
      <c r="H198" s="42">
        <f>1233000*1.1</f>
        <v>1356300</v>
      </c>
      <c r="I198" s="36">
        <f t="shared" si="6"/>
        <v>1218800</v>
      </c>
      <c r="J198" s="37">
        <f t="shared" si="8"/>
        <v>2437600</v>
      </c>
      <c r="K198" s="6"/>
      <c r="L198" s="223"/>
    </row>
    <row r="199" spans="1:12">
      <c r="A199" s="6">
        <v>44</v>
      </c>
      <c r="B199" s="5" t="s">
        <v>170</v>
      </c>
      <c r="C199" s="5" t="s">
        <v>66</v>
      </c>
      <c r="D199" s="6" t="s">
        <v>421</v>
      </c>
      <c r="E199" s="6">
        <v>1</v>
      </c>
      <c r="F199" s="58">
        <f>535000*1.1</f>
        <v>588500</v>
      </c>
      <c r="G199" s="163">
        <f>790000*1.1</f>
        <v>869000.00000000012</v>
      </c>
      <c r="H199" s="42">
        <f>660000*1.1</f>
        <v>726000.00000000012</v>
      </c>
      <c r="I199" s="36">
        <f t="shared" si="6"/>
        <v>588500</v>
      </c>
      <c r="J199" s="37">
        <f t="shared" si="8"/>
        <v>588500</v>
      </c>
      <c r="K199" s="6"/>
      <c r="L199" s="223"/>
    </row>
    <row r="200" spans="1:12">
      <c r="A200" s="10">
        <v>45</v>
      </c>
      <c r="B200" s="9" t="s">
        <v>171</v>
      </c>
      <c r="C200" s="9" t="s">
        <v>66</v>
      </c>
      <c r="D200" s="6" t="s">
        <v>421</v>
      </c>
      <c r="E200" s="10">
        <v>2</v>
      </c>
      <c r="F200" s="58">
        <f>921000*1.1</f>
        <v>1013100.0000000001</v>
      </c>
      <c r="G200" s="163">
        <f>1176000*1.1</f>
        <v>1293600</v>
      </c>
      <c r="H200" s="42">
        <f>1046000*1.1</f>
        <v>1150600</v>
      </c>
      <c r="I200" s="36">
        <f t="shared" si="6"/>
        <v>1013100.0000000001</v>
      </c>
      <c r="J200" s="37">
        <f t="shared" si="8"/>
        <v>2026200.0000000002</v>
      </c>
      <c r="K200" s="6"/>
      <c r="L200" s="223"/>
    </row>
    <row r="201" spans="1:12">
      <c r="A201" s="6">
        <v>46</v>
      </c>
      <c r="B201" s="5" t="s">
        <v>172</v>
      </c>
      <c r="C201" s="5" t="s">
        <v>66</v>
      </c>
      <c r="D201" s="6" t="s">
        <v>421</v>
      </c>
      <c r="E201" s="6">
        <v>2</v>
      </c>
      <c r="F201" s="58">
        <f>1108000*1.1</f>
        <v>1218800</v>
      </c>
      <c r="G201" s="163">
        <f>1363000*1.1</f>
        <v>1499300.0000000002</v>
      </c>
      <c r="H201" s="42">
        <f>1233000*1.1</f>
        <v>1356300</v>
      </c>
      <c r="I201" s="36">
        <f t="shared" si="6"/>
        <v>1218800</v>
      </c>
      <c r="J201" s="37">
        <f t="shared" si="8"/>
        <v>2437600</v>
      </c>
      <c r="K201" s="6"/>
      <c r="L201" s="223"/>
    </row>
    <row r="202" spans="1:12">
      <c r="A202" s="10">
        <v>47</v>
      </c>
      <c r="B202" s="5" t="s">
        <v>173</v>
      </c>
      <c r="C202" s="5" t="s">
        <v>17</v>
      </c>
      <c r="D202" s="6" t="s">
        <v>421</v>
      </c>
      <c r="E202" s="6">
        <v>1</v>
      </c>
      <c r="F202" s="58">
        <f>898000*1.1</f>
        <v>987800.00000000012</v>
      </c>
      <c r="G202" s="163">
        <f>1153000*1.1</f>
        <v>1268300</v>
      </c>
      <c r="H202" s="42">
        <f>1023000*1.1</f>
        <v>1125300</v>
      </c>
      <c r="I202" s="36">
        <f t="shared" si="6"/>
        <v>987800.00000000012</v>
      </c>
      <c r="J202" s="37">
        <f t="shared" si="8"/>
        <v>987800.00000000012</v>
      </c>
      <c r="K202" s="6"/>
      <c r="L202" s="223"/>
    </row>
    <row r="203" spans="1:12">
      <c r="A203" s="6">
        <v>48</v>
      </c>
      <c r="B203" s="5" t="s">
        <v>174</v>
      </c>
      <c r="C203" s="5" t="s">
        <v>66</v>
      </c>
      <c r="D203" s="6" t="s">
        <v>421</v>
      </c>
      <c r="E203" s="6">
        <v>2</v>
      </c>
      <c r="F203" s="58">
        <f>1344000*1.1</f>
        <v>1478400.0000000002</v>
      </c>
      <c r="G203" s="163">
        <f>1599000*1.1</f>
        <v>1758900.0000000002</v>
      </c>
      <c r="H203" s="42">
        <f>1469000*1.1</f>
        <v>1615900.0000000002</v>
      </c>
      <c r="I203" s="36">
        <f t="shared" si="6"/>
        <v>1478400.0000000002</v>
      </c>
      <c r="J203" s="37">
        <f t="shared" si="8"/>
        <v>2956800.0000000005</v>
      </c>
      <c r="K203" s="6"/>
      <c r="L203" s="223"/>
    </row>
    <row r="204" spans="1:12">
      <c r="A204" s="10">
        <v>49</v>
      </c>
      <c r="B204" s="5" t="s">
        <v>175</v>
      </c>
      <c r="C204" s="5" t="s">
        <v>66</v>
      </c>
      <c r="D204" s="6" t="s">
        <v>421</v>
      </c>
      <c r="E204" s="6">
        <v>1</v>
      </c>
      <c r="F204" s="58">
        <f>721000*1.1</f>
        <v>793100.00000000012</v>
      </c>
      <c r="G204" s="163">
        <f>976000*1.1</f>
        <v>1073600</v>
      </c>
      <c r="H204" s="42">
        <f>846000*1.1</f>
        <v>930600.00000000012</v>
      </c>
      <c r="I204" s="36">
        <f t="shared" si="6"/>
        <v>793100.00000000012</v>
      </c>
      <c r="J204" s="37">
        <f t="shared" si="8"/>
        <v>793100.00000000012</v>
      </c>
      <c r="K204" s="6"/>
      <c r="L204" s="223"/>
    </row>
    <row r="205" spans="1:12">
      <c r="A205" s="6">
        <v>50</v>
      </c>
      <c r="B205" s="5" t="s">
        <v>176</v>
      </c>
      <c r="C205" s="5" t="s">
        <v>66</v>
      </c>
      <c r="D205" s="6" t="s">
        <v>421</v>
      </c>
      <c r="E205" s="6">
        <v>2</v>
      </c>
      <c r="F205" s="58">
        <f>1050000*1.1</f>
        <v>1155000</v>
      </c>
      <c r="G205" s="163">
        <f>1305000*1.1</f>
        <v>1435500</v>
      </c>
      <c r="H205" s="42">
        <f>1175000*1.1</f>
        <v>1292500</v>
      </c>
      <c r="I205" s="36">
        <f t="shared" si="6"/>
        <v>1155000</v>
      </c>
      <c r="J205" s="37">
        <f t="shared" si="8"/>
        <v>2310000</v>
      </c>
      <c r="K205" s="6"/>
      <c r="L205" s="223"/>
    </row>
    <row r="206" spans="1:12">
      <c r="A206" s="10">
        <v>51</v>
      </c>
      <c r="B206" s="5" t="s">
        <v>177</v>
      </c>
      <c r="C206" s="5" t="s">
        <v>66</v>
      </c>
      <c r="D206" s="6" t="s">
        <v>421</v>
      </c>
      <c r="E206" s="6">
        <v>2</v>
      </c>
      <c r="F206" s="58">
        <f>921000*1.1</f>
        <v>1013100.0000000001</v>
      </c>
      <c r="G206" s="163">
        <f>1176000*1.1</f>
        <v>1293600</v>
      </c>
      <c r="H206" s="42">
        <f>1046000*1.1</f>
        <v>1150600</v>
      </c>
      <c r="I206" s="36">
        <f t="shared" si="6"/>
        <v>1013100.0000000001</v>
      </c>
      <c r="J206" s="37">
        <f t="shared" si="8"/>
        <v>2026200.0000000002</v>
      </c>
      <c r="K206" s="6"/>
      <c r="L206" s="223"/>
    </row>
    <row r="207" spans="1:12">
      <c r="A207" s="6">
        <v>52</v>
      </c>
      <c r="B207" s="5" t="s">
        <v>178</v>
      </c>
      <c r="C207" s="5" t="s">
        <v>66</v>
      </c>
      <c r="D207" s="6" t="s">
        <v>421</v>
      </c>
      <c r="E207" s="6">
        <v>1</v>
      </c>
      <c r="F207" s="58">
        <f>497000*1.1</f>
        <v>546700</v>
      </c>
      <c r="G207" s="163">
        <f>752000*1.1</f>
        <v>827200.00000000012</v>
      </c>
      <c r="H207" s="42">
        <f>622000*1.1</f>
        <v>684200</v>
      </c>
      <c r="I207" s="36">
        <f t="shared" si="6"/>
        <v>546700</v>
      </c>
      <c r="J207" s="37">
        <f t="shared" si="8"/>
        <v>546700</v>
      </c>
      <c r="K207" s="6"/>
      <c r="L207" s="223"/>
    </row>
    <row r="208" spans="1:12">
      <c r="A208" s="10">
        <v>53</v>
      </c>
      <c r="B208" s="9" t="s">
        <v>179</v>
      </c>
      <c r="C208" s="9" t="s">
        <v>17</v>
      </c>
      <c r="D208" s="6" t="s">
        <v>421</v>
      </c>
      <c r="E208" s="10">
        <v>3</v>
      </c>
      <c r="F208" s="58">
        <f>998000*1.1</f>
        <v>1097800</v>
      </c>
      <c r="G208" s="163">
        <f>1253000*1.1</f>
        <v>1378300</v>
      </c>
      <c r="H208" s="42">
        <f>1123000*1.1</f>
        <v>1235300</v>
      </c>
      <c r="I208" s="36">
        <f t="shared" si="6"/>
        <v>1097800</v>
      </c>
      <c r="J208" s="37">
        <f t="shared" si="8"/>
        <v>3293400</v>
      </c>
      <c r="K208" s="6"/>
      <c r="L208" s="223"/>
    </row>
    <row r="209" spans="1:12">
      <c r="A209" s="6">
        <v>54</v>
      </c>
      <c r="B209" s="9" t="s">
        <v>180</v>
      </c>
      <c r="C209" s="9" t="s">
        <v>66</v>
      </c>
      <c r="D209" s="6" t="s">
        <v>421</v>
      </c>
      <c r="E209" s="10">
        <v>2</v>
      </c>
      <c r="F209" s="58">
        <f>507000*1.1</f>
        <v>557700</v>
      </c>
      <c r="G209" s="164">
        <f>762000*1.1</f>
        <v>838200.00000000012</v>
      </c>
      <c r="H209" s="43">
        <f>632000*1.1</f>
        <v>695200</v>
      </c>
      <c r="I209" s="36">
        <f t="shared" si="6"/>
        <v>557700</v>
      </c>
      <c r="J209" s="37">
        <f t="shared" si="8"/>
        <v>1115400</v>
      </c>
      <c r="K209" s="10"/>
      <c r="L209" s="222"/>
    </row>
    <row r="210" spans="1:12">
      <c r="A210" s="10">
        <v>55</v>
      </c>
      <c r="B210" s="5" t="s">
        <v>181</v>
      </c>
      <c r="C210" s="5" t="s">
        <v>66</v>
      </c>
      <c r="D210" s="6" t="s">
        <v>421</v>
      </c>
      <c r="E210" s="6">
        <v>2</v>
      </c>
      <c r="F210" s="58">
        <f>1299000*1.1</f>
        <v>1428900</v>
      </c>
      <c r="G210" s="163">
        <f>1554000*1.1</f>
        <v>1709400.0000000002</v>
      </c>
      <c r="H210" s="42">
        <f>1424000*1.1</f>
        <v>1566400.0000000002</v>
      </c>
      <c r="I210" s="36">
        <f t="shared" si="6"/>
        <v>1428900</v>
      </c>
      <c r="J210" s="37">
        <f t="shared" si="8"/>
        <v>2857800</v>
      </c>
      <c r="K210" s="6"/>
      <c r="L210" s="223"/>
    </row>
    <row r="211" spans="1:12">
      <c r="A211" s="6">
        <v>56</v>
      </c>
      <c r="B211" s="9" t="s">
        <v>182</v>
      </c>
      <c r="C211" s="9" t="s">
        <v>66</v>
      </c>
      <c r="D211" s="6" t="s">
        <v>421</v>
      </c>
      <c r="E211" s="10">
        <v>2</v>
      </c>
      <c r="F211" s="58">
        <f>921000*1.1</f>
        <v>1013100.0000000001</v>
      </c>
      <c r="G211" s="163">
        <f>1176000*1.1</f>
        <v>1293600</v>
      </c>
      <c r="H211" s="42">
        <f>1046000*1.1</f>
        <v>1150600</v>
      </c>
      <c r="I211" s="36">
        <f t="shared" si="6"/>
        <v>1013100.0000000001</v>
      </c>
      <c r="J211" s="37">
        <f t="shared" si="8"/>
        <v>2026200.0000000002</v>
      </c>
      <c r="K211" s="6"/>
      <c r="L211" s="223"/>
    </row>
    <row r="212" spans="1:12">
      <c r="A212" s="10">
        <v>57</v>
      </c>
      <c r="B212" s="5" t="s">
        <v>183</v>
      </c>
      <c r="C212" s="5" t="s">
        <v>66</v>
      </c>
      <c r="D212" s="6" t="s">
        <v>421</v>
      </c>
      <c r="E212" s="6">
        <v>2</v>
      </c>
      <c r="F212" s="58">
        <f>986000*1.1</f>
        <v>1084600</v>
      </c>
      <c r="G212" s="163">
        <f>1241000*1.1</f>
        <v>1365100</v>
      </c>
      <c r="H212" s="42">
        <f>1111000*1.1</f>
        <v>1222100</v>
      </c>
      <c r="I212" s="36">
        <f t="shared" si="6"/>
        <v>1084600</v>
      </c>
      <c r="J212" s="37">
        <f t="shared" si="8"/>
        <v>2169200</v>
      </c>
      <c r="K212" s="6"/>
      <c r="L212" s="223"/>
    </row>
    <row r="213" spans="1:12">
      <c r="A213" s="6">
        <v>58</v>
      </c>
      <c r="B213" s="5" t="s">
        <v>184</v>
      </c>
      <c r="C213" s="5" t="s">
        <v>66</v>
      </c>
      <c r="D213" s="6" t="s">
        <v>421</v>
      </c>
      <c r="E213" s="6">
        <v>1</v>
      </c>
      <c r="F213" s="58">
        <f>771000*1.1</f>
        <v>848100.00000000012</v>
      </c>
      <c r="G213" s="163">
        <f>1026000*1.1</f>
        <v>1128600</v>
      </c>
      <c r="H213" s="42">
        <f>896000*1.1</f>
        <v>985600.00000000012</v>
      </c>
      <c r="I213" s="36">
        <f t="shared" si="6"/>
        <v>848100.00000000012</v>
      </c>
      <c r="J213" s="37">
        <f t="shared" si="8"/>
        <v>848100.00000000012</v>
      </c>
      <c r="K213" s="6"/>
      <c r="L213" s="223"/>
    </row>
    <row r="214" spans="1:12">
      <c r="A214" s="33"/>
      <c r="B214" s="34" t="s">
        <v>72</v>
      </c>
      <c r="C214" s="34"/>
      <c r="D214" s="34"/>
      <c r="E214" s="34"/>
      <c r="F214" s="34"/>
      <c r="G214" s="34"/>
      <c r="H214" s="34"/>
      <c r="I214" s="33"/>
      <c r="J214" s="35">
        <f>SUM(J156:J213)</f>
        <v>99682000</v>
      </c>
      <c r="K214" s="33"/>
      <c r="L214" s="224"/>
    </row>
    <row r="216" spans="1:12">
      <c r="A216" s="229" t="s">
        <v>185</v>
      </c>
      <c r="B216" s="230"/>
      <c r="C216" s="230"/>
      <c r="D216" s="230"/>
      <c r="E216" s="230"/>
      <c r="F216" s="230"/>
      <c r="G216" s="230"/>
      <c r="H216" s="230"/>
      <c r="I216" s="230"/>
      <c r="J216" s="230"/>
      <c r="K216" s="230"/>
    </row>
    <row r="217" spans="1:12" ht="78.75">
      <c r="A217" s="99" t="s">
        <v>2</v>
      </c>
      <c r="B217" s="99" t="s">
        <v>7</v>
      </c>
      <c r="C217" s="118" t="s">
        <v>3</v>
      </c>
      <c r="D217" s="118" t="s">
        <v>8</v>
      </c>
      <c r="E217" s="118" t="s">
        <v>374</v>
      </c>
      <c r="F217" s="192" t="s">
        <v>450</v>
      </c>
      <c r="G217" s="119"/>
      <c r="H217" s="119"/>
      <c r="I217" s="120" t="s">
        <v>9</v>
      </c>
      <c r="J217" s="119" t="s">
        <v>10</v>
      </c>
      <c r="K217" s="118" t="s">
        <v>4</v>
      </c>
    </row>
    <row r="218" spans="1:12" ht="12.75" customHeight="1">
      <c r="A218" s="238" t="s">
        <v>186</v>
      </c>
      <c r="B218" s="238"/>
      <c r="C218" s="99"/>
      <c r="D218" s="99"/>
      <c r="E218" s="99"/>
      <c r="F218" s="165"/>
      <c r="G218" s="121"/>
      <c r="H218" s="121"/>
      <c r="I218" s="69"/>
      <c r="J218" s="121">
        <f>SUM(J219:J316)</f>
        <v>84980000</v>
      </c>
      <c r="K218" s="99"/>
    </row>
    <row r="219" spans="1:12">
      <c r="A219" s="102">
        <v>1</v>
      </c>
      <c r="B219" s="122" t="s">
        <v>187</v>
      </c>
      <c r="C219" s="122" t="s">
        <v>451</v>
      </c>
      <c r="D219" s="102" t="s">
        <v>188</v>
      </c>
      <c r="E219" s="102">
        <v>2</v>
      </c>
      <c r="F219" s="166">
        <v>1200000</v>
      </c>
      <c r="G219" s="102"/>
      <c r="H219" s="102"/>
      <c r="I219" s="123">
        <f t="shared" ref="I219:I250" si="9">F219</f>
        <v>1200000</v>
      </c>
      <c r="J219" s="124">
        <f t="shared" ref="J219:J250" si="10">E219*I219</f>
        <v>2400000</v>
      </c>
      <c r="K219" s="102" t="s">
        <v>189</v>
      </c>
    </row>
    <row r="220" spans="1:12">
      <c r="A220" s="27">
        <v>2</v>
      </c>
      <c r="B220" s="26" t="s">
        <v>190</v>
      </c>
      <c r="C220" s="26" t="s">
        <v>451</v>
      </c>
      <c r="D220" s="27" t="s">
        <v>51</v>
      </c>
      <c r="E220" s="27">
        <v>2</v>
      </c>
      <c r="F220" s="46">
        <v>500000</v>
      </c>
      <c r="G220" s="27"/>
      <c r="H220" s="27"/>
      <c r="I220" s="125">
        <f t="shared" si="9"/>
        <v>500000</v>
      </c>
      <c r="J220" s="126">
        <f t="shared" si="10"/>
        <v>1000000</v>
      </c>
      <c r="K220" s="27" t="s">
        <v>189</v>
      </c>
    </row>
    <row r="221" spans="1:12">
      <c r="A221" s="27">
        <v>3</v>
      </c>
      <c r="B221" s="26" t="s">
        <v>191</v>
      </c>
      <c r="C221" s="26" t="s">
        <v>451</v>
      </c>
      <c r="D221" s="27" t="s">
        <v>51</v>
      </c>
      <c r="E221" s="27">
        <v>2</v>
      </c>
      <c r="F221" s="46">
        <v>260000</v>
      </c>
      <c r="G221" s="27"/>
      <c r="H221" s="27"/>
      <c r="I221" s="125">
        <f t="shared" si="9"/>
        <v>260000</v>
      </c>
      <c r="J221" s="126">
        <f t="shared" si="10"/>
        <v>520000</v>
      </c>
      <c r="K221" s="27" t="s">
        <v>189</v>
      </c>
    </row>
    <row r="222" spans="1:12">
      <c r="A222" s="27">
        <v>4</v>
      </c>
      <c r="B222" s="26" t="s">
        <v>192</v>
      </c>
      <c r="C222" s="26" t="s">
        <v>451</v>
      </c>
      <c r="D222" s="27" t="s">
        <v>51</v>
      </c>
      <c r="E222" s="27">
        <v>2</v>
      </c>
      <c r="F222" s="46">
        <v>260000</v>
      </c>
      <c r="G222" s="27"/>
      <c r="H222" s="27"/>
      <c r="I222" s="125">
        <f t="shared" si="9"/>
        <v>260000</v>
      </c>
      <c r="J222" s="126">
        <f t="shared" si="10"/>
        <v>520000</v>
      </c>
      <c r="K222" s="27" t="s">
        <v>189</v>
      </c>
    </row>
    <row r="223" spans="1:12">
      <c r="A223" s="27">
        <v>5</v>
      </c>
      <c r="B223" s="26" t="s">
        <v>193</v>
      </c>
      <c r="C223" s="26" t="s">
        <v>451</v>
      </c>
      <c r="D223" s="27" t="s">
        <v>51</v>
      </c>
      <c r="E223" s="27">
        <v>2</v>
      </c>
      <c r="F223" s="46">
        <v>260000</v>
      </c>
      <c r="G223" s="27"/>
      <c r="H223" s="27"/>
      <c r="I223" s="125">
        <f t="shared" si="9"/>
        <v>260000</v>
      </c>
      <c r="J223" s="126">
        <f t="shared" si="10"/>
        <v>520000</v>
      </c>
      <c r="K223" s="27" t="s">
        <v>189</v>
      </c>
    </row>
    <row r="224" spans="1:12">
      <c r="A224" s="27">
        <v>6</v>
      </c>
      <c r="B224" s="26" t="s">
        <v>194</v>
      </c>
      <c r="C224" s="26" t="s">
        <v>451</v>
      </c>
      <c r="D224" s="27" t="s">
        <v>51</v>
      </c>
      <c r="E224" s="27">
        <v>2</v>
      </c>
      <c r="F224" s="46">
        <v>260000</v>
      </c>
      <c r="G224" s="27"/>
      <c r="H224" s="27"/>
      <c r="I224" s="125">
        <f t="shared" si="9"/>
        <v>260000</v>
      </c>
      <c r="J224" s="126">
        <f t="shared" si="10"/>
        <v>520000</v>
      </c>
      <c r="K224" s="27" t="s">
        <v>189</v>
      </c>
    </row>
    <row r="225" spans="1:11">
      <c r="A225" s="27">
        <v>7</v>
      </c>
      <c r="B225" s="26" t="s">
        <v>195</v>
      </c>
      <c r="C225" s="26" t="s">
        <v>451</v>
      </c>
      <c r="D225" s="27" t="s">
        <v>51</v>
      </c>
      <c r="E225" s="27">
        <v>2</v>
      </c>
      <c r="F225" s="46">
        <v>500000</v>
      </c>
      <c r="G225" s="27"/>
      <c r="H225" s="27"/>
      <c r="I225" s="125">
        <f t="shared" si="9"/>
        <v>500000</v>
      </c>
      <c r="J225" s="126">
        <f t="shared" si="10"/>
        <v>1000000</v>
      </c>
      <c r="K225" s="27" t="s">
        <v>189</v>
      </c>
    </row>
    <row r="226" spans="1:11">
      <c r="A226" s="27">
        <v>8</v>
      </c>
      <c r="B226" s="26" t="s">
        <v>196</v>
      </c>
      <c r="C226" s="26" t="s">
        <v>451</v>
      </c>
      <c r="D226" s="27" t="s">
        <v>51</v>
      </c>
      <c r="E226" s="27">
        <v>2</v>
      </c>
      <c r="F226" s="46">
        <v>500000</v>
      </c>
      <c r="G226" s="27"/>
      <c r="H226" s="27"/>
      <c r="I226" s="125">
        <f t="shared" si="9"/>
        <v>500000</v>
      </c>
      <c r="J226" s="126">
        <f t="shared" si="10"/>
        <v>1000000</v>
      </c>
      <c r="K226" s="27" t="s">
        <v>189</v>
      </c>
    </row>
    <row r="227" spans="1:11">
      <c r="A227" s="27">
        <v>9</v>
      </c>
      <c r="B227" s="26" t="s">
        <v>197</v>
      </c>
      <c r="C227" s="26" t="s">
        <v>451</v>
      </c>
      <c r="D227" s="27" t="s">
        <v>51</v>
      </c>
      <c r="E227" s="27">
        <v>2</v>
      </c>
      <c r="F227" s="46">
        <v>260000</v>
      </c>
      <c r="G227" s="27"/>
      <c r="H227" s="27"/>
      <c r="I227" s="125">
        <f t="shared" si="9"/>
        <v>260000</v>
      </c>
      <c r="J227" s="126">
        <f t="shared" si="10"/>
        <v>520000</v>
      </c>
      <c r="K227" s="27" t="s">
        <v>189</v>
      </c>
    </row>
    <row r="228" spans="1:11">
      <c r="A228" s="27">
        <v>10</v>
      </c>
      <c r="B228" s="26" t="s">
        <v>198</v>
      </c>
      <c r="C228" s="26" t="s">
        <v>451</v>
      </c>
      <c r="D228" s="27" t="s">
        <v>51</v>
      </c>
      <c r="E228" s="27">
        <v>2</v>
      </c>
      <c r="F228" s="46">
        <v>500000</v>
      </c>
      <c r="G228" s="27"/>
      <c r="H228" s="27"/>
      <c r="I228" s="125">
        <f t="shared" si="9"/>
        <v>500000</v>
      </c>
      <c r="J228" s="126">
        <f t="shared" si="10"/>
        <v>1000000</v>
      </c>
      <c r="K228" s="27" t="s">
        <v>189</v>
      </c>
    </row>
    <row r="229" spans="1:11">
      <c r="A229" s="27">
        <v>11</v>
      </c>
      <c r="B229" s="26" t="s">
        <v>199</v>
      </c>
      <c r="C229" s="26" t="s">
        <v>451</v>
      </c>
      <c r="D229" s="27" t="s">
        <v>51</v>
      </c>
      <c r="E229" s="27">
        <v>2</v>
      </c>
      <c r="F229" s="46">
        <v>500000</v>
      </c>
      <c r="G229" s="27"/>
      <c r="H229" s="27"/>
      <c r="I229" s="125">
        <f t="shared" si="9"/>
        <v>500000</v>
      </c>
      <c r="J229" s="126">
        <f t="shared" si="10"/>
        <v>1000000</v>
      </c>
      <c r="K229" s="27" t="s">
        <v>189</v>
      </c>
    </row>
    <row r="230" spans="1:11">
      <c r="A230" s="27">
        <v>12</v>
      </c>
      <c r="B230" s="26" t="s">
        <v>200</v>
      </c>
      <c r="C230" s="26" t="s">
        <v>451</v>
      </c>
      <c r="D230" s="27" t="s">
        <v>51</v>
      </c>
      <c r="E230" s="27">
        <v>3</v>
      </c>
      <c r="F230" s="46">
        <v>260000</v>
      </c>
      <c r="G230" s="27"/>
      <c r="H230" s="27"/>
      <c r="I230" s="125">
        <f t="shared" si="9"/>
        <v>260000</v>
      </c>
      <c r="J230" s="126">
        <f t="shared" si="10"/>
        <v>780000</v>
      </c>
      <c r="K230" s="27" t="s">
        <v>189</v>
      </c>
    </row>
    <row r="231" spans="1:11">
      <c r="A231" s="27">
        <v>13</v>
      </c>
      <c r="B231" s="26" t="s">
        <v>201</v>
      </c>
      <c r="C231" s="26" t="s">
        <v>451</v>
      </c>
      <c r="D231" s="27" t="s">
        <v>51</v>
      </c>
      <c r="E231" s="27">
        <v>3</v>
      </c>
      <c r="F231" s="46">
        <v>500000</v>
      </c>
      <c r="G231" s="27"/>
      <c r="H231" s="27"/>
      <c r="I231" s="125">
        <f t="shared" si="9"/>
        <v>500000</v>
      </c>
      <c r="J231" s="126">
        <f t="shared" si="10"/>
        <v>1500000</v>
      </c>
      <c r="K231" s="27" t="s">
        <v>189</v>
      </c>
    </row>
    <row r="232" spans="1:11">
      <c r="A232" s="27">
        <v>14</v>
      </c>
      <c r="B232" s="26" t="s">
        <v>202</v>
      </c>
      <c r="C232" s="26" t="s">
        <v>451</v>
      </c>
      <c r="D232" s="27" t="s">
        <v>51</v>
      </c>
      <c r="E232" s="27">
        <v>2</v>
      </c>
      <c r="F232" s="46">
        <v>750000</v>
      </c>
      <c r="G232" s="27"/>
      <c r="H232" s="27"/>
      <c r="I232" s="125">
        <f t="shared" si="9"/>
        <v>750000</v>
      </c>
      <c r="J232" s="126">
        <f t="shared" si="10"/>
        <v>1500000</v>
      </c>
      <c r="K232" s="27" t="s">
        <v>189</v>
      </c>
    </row>
    <row r="233" spans="1:11" ht="27" customHeight="1">
      <c r="A233" s="27">
        <v>15</v>
      </c>
      <c r="B233" s="26" t="s">
        <v>282</v>
      </c>
      <c r="C233" s="26" t="s">
        <v>451</v>
      </c>
      <c r="D233" s="27" t="s">
        <v>51</v>
      </c>
      <c r="E233" s="27">
        <v>2</v>
      </c>
      <c r="F233" s="46">
        <v>500000</v>
      </c>
      <c r="G233" s="27"/>
      <c r="H233" s="27"/>
      <c r="I233" s="125">
        <f t="shared" si="9"/>
        <v>500000</v>
      </c>
      <c r="J233" s="126">
        <f t="shared" si="10"/>
        <v>1000000</v>
      </c>
      <c r="K233" s="27" t="s">
        <v>189</v>
      </c>
    </row>
    <row r="234" spans="1:11">
      <c r="A234" s="27">
        <v>16</v>
      </c>
      <c r="B234" s="26" t="s">
        <v>203</v>
      </c>
      <c r="C234" s="26" t="s">
        <v>451</v>
      </c>
      <c r="D234" s="27" t="s">
        <v>51</v>
      </c>
      <c r="E234" s="27">
        <v>6</v>
      </c>
      <c r="F234" s="46">
        <v>50000</v>
      </c>
      <c r="G234" s="27"/>
      <c r="H234" s="27"/>
      <c r="I234" s="125">
        <f t="shared" si="9"/>
        <v>50000</v>
      </c>
      <c r="J234" s="126">
        <f t="shared" si="10"/>
        <v>300000</v>
      </c>
      <c r="K234" s="27" t="s">
        <v>189</v>
      </c>
    </row>
    <row r="235" spans="1:11">
      <c r="A235" s="27">
        <v>17</v>
      </c>
      <c r="B235" s="26" t="s">
        <v>204</v>
      </c>
      <c r="C235" s="26" t="s">
        <v>451</v>
      </c>
      <c r="D235" s="27" t="s">
        <v>188</v>
      </c>
      <c r="E235" s="27">
        <v>2</v>
      </c>
      <c r="F235" s="46">
        <v>500000</v>
      </c>
      <c r="G235" s="27"/>
      <c r="H235" s="27"/>
      <c r="I235" s="125">
        <f t="shared" si="9"/>
        <v>500000</v>
      </c>
      <c r="J235" s="126">
        <f t="shared" si="10"/>
        <v>1000000</v>
      </c>
      <c r="K235" s="27" t="s">
        <v>189</v>
      </c>
    </row>
    <row r="236" spans="1:11">
      <c r="A236" s="27">
        <v>18</v>
      </c>
      <c r="B236" s="26" t="s">
        <v>205</v>
      </c>
      <c r="C236" s="26" t="s">
        <v>451</v>
      </c>
      <c r="D236" s="27" t="s">
        <v>51</v>
      </c>
      <c r="E236" s="27">
        <v>2</v>
      </c>
      <c r="F236" s="46">
        <v>500000</v>
      </c>
      <c r="G236" s="27"/>
      <c r="H236" s="27"/>
      <c r="I236" s="125">
        <f t="shared" si="9"/>
        <v>500000</v>
      </c>
      <c r="J236" s="126">
        <f t="shared" si="10"/>
        <v>1000000</v>
      </c>
      <c r="K236" s="27" t="s">
        <v>189</v>
      </c>
    </row>
    <row r="237" spans="1:11">
      <c r="A237" s="27">
        <v>19</v>
      </c>
      <c r="B237" s="26" t="s">
        <v>206</v>
      </c>
      <c r="C237" s="26" t="s">
        <v>451</v>
      </c>
      <c r="D237" s="27" t="s">
        <v>51</v>
      </c>
      <c r="E237" s="27">
        <v>2</v>
      </c>
      <c r="F237" s="46">
        <v>1100000</v>
      </c>
      <c r="G237" s="27"/>
      <c r="H237" s="27"/>
      <c r="I237" s="125">
        <f t="shared" si="9"/>
        <v>1100000</v>
      </c>
      <c r="J237" s="126">
        <f t="shared" si="10"/>
        <v>2200000</v>
      </c>
      <c r="K237" s="27" t="s">
        <v>189</v>
      </c>
    </row>
    <row r="238" spans="1:11">
      <c r="A238" s="27">
        <v>20</v>
      </c>
      <c r="B238" s="26" t="s">
        <v>207</v>
      </c>
      <c r="C238" s="26" t="s">
        <v>451</v>
      </c>
      <c r="D238" s="27" t="s">
        <v>51</v>
      </c>
      <c r="E238" s="27">
        <v>2</v>
      </c>
      <c r="F238" s="46">
        <v>500000</v>
      </c>
      <c r="G238" s="27"/>
      <c r="H238" s="27"/>
      <c r="I238" s="125">
        <f t="shared" si="9"/>
        <v>500000</v>
      </c>
      <c r="J238" s="126">
        <f t="shared" si="10"/>
        <v>1000000</v>
      </c>
      <c r="K238" s="27" t="s">
        <v>189</v>
      </c>
    </row>
    <row r="239" spans="1:11">
      <c r="A239" s="27">
        <v>21</v>
      </c>
      <c r="B239" s="26" t="s">
        <v>208</v>
      </c>
      <c r="C239" s="26" t="s">
        <v>451</v>
      </c>
      <c r="D239" s="27" t="s">
        <v>51</v>
      </c>
      <c r="E239" s="27">
        <v>2</v>
      </c>
      <c r="F239" s="46">
        <v>500000</v>
      </c>
      <c r="G239" s="27"/>
      <c r="H239" s="27"/>
      <c r="I239" s="125">
        <f t="shared" si="9"/>
        <v>500000</v>
      </c>
      <c r="J239" s="126">
        <f t="shared" si="10"/>
        <v>1000000</v>
      </c>
      <c r="K239" s="27" t="s">
        <v>189</v>
      </c>
    </row>
    <row r="240" spans="1:11">
      <c r="A240" s="27">
        <v>22</v>
      </c>
      <c r="B240" s="26" t="s">
        <v>209</v>
      </c>
      <c r="C240" s="26" t="s">
        <v>451</v>
      </c>
      <c r="D240" s="27" t="s">
        <v>51</v>
      </c>
      <c r="E240" s="27">
        <v>2</v>
      </c>
      <c r="F240" s="46">
        <v>500000</v>
      </c>
      <c r="G240" s="27"/>
      <c r="H240" s="27"/>
      <c r="I240" s="125">
        <f t="shared" si="9"/>
        <v>500000</v>
      </c>
      <c r="J240" s="126">
        <f t="shared" si="10"/>
        <v>1000000</v>
      </c>
      <c r="K240" s="27" t="s">
        <v>189</v>
      </c>
    </row>
    <row r="241" spans="1:11">
      <c r="A241" s="27">
        <v>23</v>
      </c>
      <c r="B241" s="26" t="s">
        <v>210</v>
      </c>
      <c r="C241" s="26" t="s">
        <v>451</v>
      </c>
      <c r="D241" s="27" t="s">
        <v>51</v>
      </c>
      <c r="E241" s="27">
        <v>2</v>
      </c>
      <c r="F241" s="46">
        <v>500000</v>
      </c>
      <c r="G241" s="27"/>
      <c r="H241" s="27"/>
      <c r="I241" s="125">
        <f t="shared" si="9"/>
        <v>500000</v>
      </c>
      <c r="J241" s="126">
        <f t="shared" si="10"/>
        <v>1000000</v>
      </c>
      <c r="K241" s="27" t="s">
        <v>189</v>
      </c>
    </row>
    <row r="242" spans="1:11">
      <c r="A242" s="27">
        <v>24</v>
      </c>
      <c r="B242" s="26" t="s">
        <v>211</v>
      </c>
      <c r="C242" s="26" t="s">
        <v>451</v>
      </c>
      <c r="D242" s="27" t="s">
        <v>51</v>
      </c>
      <c r="E242" s="27">
        <v>2</v>
      </c>
      <c r="F242" s="46">
        <v>500000</v>
      </c>
      <c r="G242" s="27"/>
      <c r="H242" s="27"/>
      <c r="I242" s="125">
        <f t="shared" si="9"/>
        <v>500000</v>
      </c>
      <c r="J242" s="126">
        <f t="shared" si="10"/>
        <v>1000000</v>
      </c>
      <c r="K242" s="27" t="s">
        <v>189</v>
      </c>
    </row>
    <row r="243" spans="1:11">
      <c r="A243" s="27">
        <v>25</v>
      </c>
      <c r="B243" s="26" t="s">
        <v>212</v>
      </c>
      <c r="C243" s="26" t="s">
        <v>451</v>
      </c>
      <c r="D243" s="27" t="s">
        <v>51</v>
      </c>
      <c r="E243" s="27">
        <v>2</v>
      </c>
      <c r="F243" s="46">
        <v>500000</v>
      </c>
      <c r="G243" s="27"/>
      <c r="H243" s="27"/>
      <c r="I243" s="125">
        <f t="shared" si="9"/>
        <v>500000</v>
      </c>
      <c r="J243" s="126">
        <f t="shared" si="10"/>
        <v>1000000</v>
      </c>
      <c r="K243" s="27" t="s">
        <v>189</v>
      </c>
    </row>
    <row r="244" spans="1:11">
      <c r="A244" s="27">
        <v>26</v>
      </c>
      <c r="B244" s="26" t="s">
        <v>213</v>
      </c>
      <c r="C244" s="26" t="s">
        <v>451</v>
      </c>
      <c r="D244" s="27" t="s">
        <v>51</v>
      </c>
      <c r="E244" s="27">
        <v>2</v>
      </c>
      <c r="F244" s="46">
        <v>500000</v>
      </c>
      <c r="G244" s="27"/>
      <c r="H244" s="27"/>
      <c r="I244" s="125">
        <f t="shared" si="9"/>
        <v>500000</v>
      </c>
      <c r="J244" s="126">
        <f t="shared" si="10"/>
        <v>1000000</v>
      </c>
      <c r="K244" s="27" t="s">
        <v>189</v>
      </c>
    </row>
    <row r="245" spans="1:11">
      <c r="A245" s="27">
        <v>27</v>
      </c>
      <c r="B245" s="26" t="s">
        <v>214</v>
      </c>
      <c r="C245" s="26" t="s">
        <v>451</v>
      </c>
      <c r="D245" s="27" t="s">
        <v>51</v>
      </c>
      <c r="E245" s="27">
        <v>2</v>
      </c>
      <c r="F245" s="46">
        <v>500000</v>
      </c>
      <c r="G245" s="27"/>
      <c r="H245" s="27"/>
      <c r="I245" s="125">
        <f t="shared" si="9"/>
        <v>500000</v>
      </c>
      <c r="J245" s="126">
        <f t="shared" si="10"/>
        <v>1000000</v>
      </c>
      <c r="K245" s="27" t="s">
        <v>189</v>
      </c>
    </row>
    <row r="246" spans="1:11">
      <c r="A246" s="27">
        <v>28</v>
      </c>
      <c r="B246" s="26" t="s">
        <v>215</v>
      </c>
      <c r="C246" s="26" t="s">
        <v>451</v>
      </c>
      <c r="D246" s="27" t="s">
        <v>51</v>
      </c>
      <c r="E246" s="27">
        <v>2</v>
      </c>
      <c r="F246" s="46">
        <v>260000</v>
      </c>
      <c r="G246" s="27"/>
      <c r="H246" s="27"/>
      <c r="I246" s="125">
        <f t="shared" si="9"/>
        <v>260000</v>
      </c>
      <c r="J246" s="126">
        <f t="shared" si="10"/>
        <v>520000</v>
      </c>
      <c r="K246" s="27" t="s">
        <v>189</v>
      </c>
    </row>
    <row r="247" spans="1:11">
      <c r="A247" s="27">
        <v>29</v>
      </c>
      <c r="B247" s="26" t="s">
        <v>216</v>
      </c>
      <c r="C247" s="26" t="s">
        <v>451</v>
      </c>
      <c r="D247" s="27" t="s">
        <v>51</v>
      </c>
      <c r="E247" s="27">
        <v>2</v>
      </c>
      <c r="F247" s="46">
        <v>500000</v>
      </c>
      <c r="G247" s="27"/>
      <c r="H247" s="27"/>
      <c r="I247" s="125">
        <f t="shared" si="9"/>
        <v>500000</v>
      </c>
      <c r="J247" s="126">
        <f t="shared" si="10"/>
        <v>1000000</v>
      </c>
      <c r="K247" s="27" t="s">
        <v>189</v>
      </c>
    </row>
    <row r="248" spans="1:11">
      <c r="A248" s="27">
        <v>30</v>
      </c>
      <c r="B248" s="26" t="s">
        <v>217</v>
      </c>
      <c r="C248" s="26" t="s">
        <v>451</v>
      </c>
      <c r="D248" s="27" t="s">
        <v>51</v>
      </c>
      <c r="E248" s="27">
        <v>2</v>
      </c>
      <c r="F248" s="46">
        <v>260000</v>
      </c>
      <c r="G248" s="27"/>
      <c r="H248" s="27"/>
      <c r="I248" s="125">
        <f t="shared" si="9"/>
        <v>260000</v>
      </c>
      <c r="J248" s="126">
        <f t="shared" si="10"/>
        <v>520000</v>
      </c>
      <c r="K248" s="27" t="s">
        <v>189</v>
      </c>
    </row>
    <row r="249" spans="1:11">
      <c r="A249" s="27">
        <v>31</v>
      </c>
      <c r="B249" s="26" t="s">
        <v>218</v>
      </c>
      <c r="C249" s="26" t="s">
        <v>451</v>
      </c>
      <c r="D249" s="27" t="s">
        <v>51</v>
      </c>
      <c r="E249" s="27">
        <v>2</v>
      </c>
      <c r="F249" s="46">
        <v>260000</v>
      </c>
      <c r="G249" s="27"/>
      <c r="H249" s="27"/>
      <c r="I249" s="125">
        <f t="shared" si="9"/>
        <v>260000</v>
      </c>
      <c r="J249" s="126">
        <f t="shared" si="10"/>
        <v>520000</v>
      </c>
      <c r="K249" s="27" t="s">
        <v>189</v>
      </c>
    </row>
    <row r="250" spans="1:11">
      <c r="A250" s="27">
        <v>32</v>
      </c>
      <c r="B250" s="26" t="s">
        <v>219</v>
      </c>
      <c r="C250" s="26" t="s">
        <v>451</v>
      </c>
      <c r="D250" s="27" t="s">
        <v>51</v>
      </c>
      <c r="E250" s="27">
        <v>2</v>
      </c>
      <c r="F250" s="46">
        <v>260000</v>
      </c>
      <c r="G250" s="27"/>
      <c r="H250" s="27"/>
      <c r="I250" s="125">
        <f t="shared" si="9"/>
        <v>260000</v>
      </c>
      <c r="J250" s="126">
        <f t="shared" si="10"/>
        <v>520000</v>
      </c>
      <c r="K250" s="27" t="s">
        <v>189</v>
      </c>
    </row>
    <row r="251" spans="1:11">
      <c r="A251" s="27">
        <v>33</v>
      </c>
      <c r="B251" s="26" t="s">
        <v>220</v>
      </c>
      <c r="C251" s="26" t="s">
        <v>451</v>
      </c>
      <c r="D251" s="27" t="s">
        <v>51</v>
      </c>
      <c r="E251" s="27">
        <v>2</v>
      </c>
      <c r="F251" s="46">
        <v>260000</v>
      </c>
      <c r="G251" s="27"/>
      <c r="H251" s="27"/>
      <c r="I251" s="125">
        <f t="shared" ref="I251:I282" si="11">F251</f>
        <v>260000</v>
      </c>
      <c r="J251" s="126">
        <f t="shared" ref="J251:J282" si="12">E251*I251</f>
        <v>520000</v>
      </c>
      <c r="K251" s="27" t="s">
        <v>189</v>
      </c>
    </row>
    <row r="252" spans="1:11">
      <c r="A252" s="27">
        <v>34</v>
      </c>
      <c r="B252" s="26" t="s">
        <v>221</v>
      </c>
      <c r="C252" s="26" t="s">
        <v>451</v>
      </c>
      <c r="D252" s="27" t="s">
        <v>51</v>
      </c>
      <c r="E252" s="27">
        <v>2</v>
      </c>
      <c r="F252" s="46">
        <v>500000</v>
      </c>
      <c r="G252" s="27"/>
      <c r="H252" s="27"/>
      <c r="I252" s="125">
        <f t="shared" si="11"/>
        <v>500000</v>
      </c>
      <c r="J252" s="126">
        <f t="shared" si="12"/>
        <v>1000000</v>
      </c>
      <c r="K252" s="27" t="s">
        <v>189</v>
      </c>
    </row>
    <row r="253" spans="1:11">
      <c r="A253" s="27">
        <v>35</v>
      </c>
      <c r="B253" s="26" t="s">
        <v>222</v>
      </c>
      <c r="C253" s="26" t="s">
        <v>451</v>
      </c>
      <c r="D253" s="27" t="s">
        <v>51</v>
      </c>
      <c r="E253" s="27">
        <v>2</v>
      </c>
      <c r="F253" s="46">
        <v>260000</v>
      </c>
      <c r="G253" s="27"/>
      <c r="H253" s="27"/>
      <c r="I253" s="125">
        <f t="shared" si="11"/>
        <v>260000</v>
      </c>
      <c r="J253" s="126">
        <f t="shared" si="12"/>
        <v>520000</v>
      </c>
      <c r="K253" s="27" t="s">
        <v>189</v>
      </c>
    </row>
    <row r="254" spans="1:11">
      <c r="A254" s="27">
        <v>36</v>
      </c>
      <c r="B254" s="26" t="s">
        <v>223</v>
      </c>
      <c r="C254" s="26" t="s">
        <v>451</v>
      </c>
      <c r="D254" s="27" t="s">
        <v>51</v>
      </c>
      <c r="E254" s="27">
        <v>2</v>
      </c>
      <c r="F254" s="46">
        <v>260000</v>
      </c>
      <c r="G254" s="27"/>
      <c r="H254" s="27"/>
      <c r="I254" s="125">
        <f t="shared" si="11"/>
        <v>260000</v>
      </c>
      <c r="J254" s="126">
        <f t="shared" si="12"/>
        <v>520000</v>
      </c>
      <c r="K254" s="27" t="s">
        <v>189</v>
      </c>
    </row>
    <row r="255" spans="1:11">
      <c r="A255" s="27">
        <v>37</v>
      </c>
      <c r="B255" s="26" t="s">
        <v>224</v>
      </c>
      <c r="C255" s="26" t="s">
        <v>451</v>
      </c>
      <c r="D255" s="27" t="s">
        <v>51</v>
      </c>
      <c r="E255" s="27">
        <v>2</v>
      </c>
      <c r="F255" s="46">
        <v>500000</v>
      </c>
      <c r="G255" s="27"/>
      <c r="H255" s="27"/>
      <c r="I255" s="125">
        <f t="shared" si="11"/>
        <v>500000</v>
      </c>
      <c r="J255" s="126">
        <f t="shared" si="12"/>
        <v>1000000</v>
      </c>
      <c r="K255" s="27" t="s">
        <v>189</v>
      </c>
    </row>
    <row r="256" spans="1:11">
      <c r="A256" s="27">
        <v>38</v>
      </c>
      <c r="B256" s="26" t="s">
        <v>225</v>
      </c>
      <c r="C256" s="26" t="s">
        <v>451</v>
      </c>
      <c r="D256" s="27" t="s">
        <v>51</v>
      </c>
      <c r="E256" s="27">
        <v>2</v>
      </c>
      <c r="F256" s="46">
        <v>260000</v>
      </c>
      <c r="G256" s="27"/>
      <c r="H256" s="27"/>
      <c r="I256" s="125">
        <f t="shared" si="11"/>
        <v>260000</v>
      </c>
      <c r="J256" s="126">
        <f t="shared" si="12"/>
        <v>520000</v>
      </c>
      <c r="K256" s="27" t="s">
        <v>189</v>
      </c>
    </row>
    <row r="257" spans="1:11">
      <c r="A257" s="27">
        <v>39</v>
      </c>
      <c r="B257" s="40" t="s">
        <v>226</v>
      </c>
      <c r="C257" s="26" t="s">
        <v>451</v>
      </c>
      <c r="D257" s="27" t="s">
        <v>51</v>
      </c>
      <c r="E257" s="27">
        <v>2</v>
      </c>
      <c r="F257" s="46">
        <v>260000</v>
      </c>
      <c r="G257" s="27"/>
      <c r="H257" s="27"/>
      <c r="I257" s="125">
        <f t="shared" si="11"/>
        <v>260000</v>
      </c>
      <c r="J257" s="126">
        <f t="shared" si="12"/>
        <v>520000</v>
      </c>
      <c r="K257" s="27" t="s">
        <v>189</v>
      </c>
    </row>
    <row r="258" spans="1:11">
      <c r="A258" s="27">
        <v>40</v>
      </c>
      <c r="B258" s="26" t="s">
        <v>227</v>
      </c>
      <c r="C258" s="26" t="s">
        <v>451</v>
      </c>
      <c r="D258" s="27" t="s">
        <v>51</v>
      </c>
      <c r="E258" s="27">
        <v>2</v>
      </c>
      <c r="F258" s="46">
        <v>260000</v>
      </c>
      <c r="G258" s="27"/>
      <c r="H258" s="27"/>
      <c r="I258" s="125">
        <f t="shared" si="11"/>
        <v>260000</v>
      </c>
      <c r="J258" s="126">
        <f t="shared" si="12"/>
        <v>520000</v>
      </c>
      <c r="K258" s="27" t="s">
        <v>189</v>
      </c>
    </row>
    <row r="259" spans="1:11">
      <c r="A259" s="27">
        <v>41</v>
      </c>
      <c r="B259" s="26" t="s">
        <v>228</v>
      </c>
      <c r="C259" s="26" t="s">
        <v>451</v>
      </c>
      <c r="D259" s="27" t="s">
        <v>51</v>
      </c>
      <c r="E259" s="27">
        <v>2</v>
      </c>
      <c r="F259" s="46">
        <v>260000</v>
      </c>
      <c r="G259" s="27"/>
      <c r="H259" s="27"/>
      <c r="I259" s="125">
        <f t="shared" si="11"/>
        <v>260000</v>
      </c>
      <c r="J259" s="126">
        <f t="shared" si="12"/>
        <v>520000</v>
      </c>
      <c r="K259" s="27" t="s">
        <v>189</v>
      </c>
    </row>
    <row r="260" spans="1:11">
      <c r="A260" s="27">
        <v>42</v>
      </c>
      <c r="B260" s="26" t="s">
        <v>229</v>
      </c>
      <c r="C260" s="26" t="s">
        <v>451</v>
      </c>
      <c r="D260" s="27" t="s">
        <v>51</v>
      </c>
      <c r="E260" s="27">
        <v>2</v>
      </c>
      <c r="F260" s="46">
        <v>260000</v>
      </c>
      <c r="G260" s="27"/>
      <c r="H260" s="27"/>
      <c r="I260" s="125">
        <f t="shared" si="11"/>
        <v>260000</v>
      </c>
      <c r="J260" s="126">
        <f t="shared" si="12"/>
        <v>520000</v>
      </c>
      <c r="K260" s="27" t="s">
        <v>189</v>
      </c>
    </row>
    <row r="261" spans="1:11">
      <c r="A261" s="27">
        <v>43</v>
      </c>
      <c r="B261" s="26" t="s">
        <v>230</v>
      </c>
      <c r="C261" s="26" t="s">
        <v>451</v>
      </c>
      <c r="D261" s="27" t="s">
        <v>51</v>
      </c>
      <c r="E261" s="27">
        <v>2</v>
      </c>
      <c r="F261" s="46">
        <v>500000</v>
      </c>
      <c r="G261" s="27"/>
      <c r="H261" s="27"/>
      <c r="I261" s="125">
        <f t="shared" si="11"/>
        <v>500000</v>
      </c>
      <c r="J261" s="126">
        <f t="shared" si="12"/>
        <v>1000000</v>
      </c>
      <c r="K261" s="27" t="s">
        <v>189</v>
      </c>
    </row>
    <row r="262" spans="1:11">
      <c r="A262" s="27">
        <v>44</v>
      </c>
      <c r="B262" s="26" t="s">
        <v>231</v>
      </c>
      <c r="C262" s="26" t="s">
        <v>451</v>
      </c>
      <c r="D262" s="27" t="s">
        <v>51</v>
      </c>
      <c r="E262" s="27">
        <v>2</v>
      </c>
      <c r="F262" s="46">
        <v>500000</v>
      </c>
      <c r="G262" s="27"/>
      <c r="H262" s="27"/>
      <c r="I262" s="125">
        <f t="shared" si="11"/>
        <v>500000</v>
      </c>
      <c r="J262" s="126">
        <f t="shared" si="12"/>
        <v>1000000</v>
      </c>
      <c r="K262" s="27" t="s">
        <v>189</v>
      </c>
    </row>
    <row r="263" spans="1:11">
      <c r="A263" s="27">
        <v>45</v>
      </c>
      <c r="B263" s="26" t="s">
        <v>232</v>
      </c>
      <c r="C263" s="26" t="s">
        <v>451</v>
      </c>
      <c r="D263" s="27" t="s">
        <v>51</v>
      </c>
      <c r="E263" s="27">
        <v>2</v>
      </c>
      <c r="F263" s="46">
        <v>500000</v>
      </c>
      <c r="G263" s="27"/>
      <c r="H263" s="27"/>
      <c r="I263" s="125">
        <f t="shared" si="11"/>
        <v>500000</v>
      </c>
      <c r="J263" s="126">
        <f t="shared" si="12"/>
        <v>1000000</v>
      </c>
      <c r="K263" s="27" t="s">
        <v>189</v>
      </c>
    </row>
    <row r="264" spans="1:11">
      <c r="A264" s="27">
        <v>46</v>
      </c>
      <c r="B264" s="26" t="s">
        <v>233</v>
      </c>
      <c r="C264" s="26" t="s">
        <v>451</v>
      </c>
      <c r="D264" s="27" t="s">
        <v>51</v>
      </c>
      <c r="E264" s="27">
        <v>3</v>
      </c>
      <c r="F264" s="46">
        <v>500000</v>
      </c>
      <c r="G264" s="27"/>
      <c r="H264" s="27"/>
      <c r="I264" s="125">
        <f t="shared" si="11"/>
        <v>500000</v>
      </c>
      <c r="J264" s="126">
        <f t="shared" si="12"/>
        <v>1500000</v>
      </c>
      <c r="K264" s="27" t="s">
        <v>189</v>
      </c>
    </row>
    <row r="265" spans="1:11">
      <c r="A265" s="27">
        <v>47</v>
      </c>
      <c r="B265" s="40" t="s">
        <v>234</v>
      </c>
      <c r="C265" s="26" t="s">
        <v>451</v>
      </c>
      <c r="D265" s="27" t="s">
        <v>51</v>
      </c>
      <c r="E265" s="27">
        <v>3</v>
      </c>
      <c r="F265" s="46">
        <v>500000</v>
      </c>
      <c r="G265" s="27"/>
      <c r="H265" s="27"/>
      <c r="I265" s="125">
        <f t="shared" si="11"/>
        <v>500000</v>
      </c>
      <c r="J265" s="126">
        <f t="shared" si="12"/>
        <v>1500000</v>
      </c>
      <c r="K265" s="27" t="s">
        <v>189</v>
      </c>
    </row>
    <row r="266" spans="1:11">
      <c r="A266" s="27">
        <v>48</v>
      </c>
      <c r="B266" s="26" t="s">
        <v>235</v>
      </c>
      <c r="C266" s="26" t="s">
        <v>451</v>
      </c>
      <c r="D266" s="27" t="s">
        <v>51</v>
      </c>
      <c r="E266" s="27">
        <v>2</v>
      </c>
      <c r="F266" s="46">
        <v>500000</v>
      </c>
      <c r="G266" s="27"/>
      <c r="H266" s="27"/>
      <c r="I266" s="125">
        <f t="shared" si="11"/>
        <v>500000</v>
      </c>
      <c r="J266" s="126">
        <f t="shared" si="12"/>
        <v>1000000</v>
      </c>
      <c r="K266" s="27" t="s">
        <v>189</v>
      </c>
    </row>
    <row r="267" spans="1:11">
      <c r="A267" s="27">
        <v>49</v>
      </c>
      <c r="B267" s="26" t="s">
        <v>236</v>
      </c>
      <c r="C267" s="26" t="s">
        <v>451</v>
      </c>
      <c r="D267" s="27" t="s">
        <v>51</v>
      </c>
      <c r="E267" s="27">
        <v>2</v>
      </c>
      <c r="F267" s="46">
        <v>500000</v>
      </c>
      <c r="G267" s="27"/>
      <c r="H267" s="27"/>
      <c r="I267" s="125">
        <f t="shared" si="11"/>
        <v>500000</v>
      </c>
      <c r="J267" s="126">
        <f t="shared" si="12"/>
        <v>1000000</v>
      </c>
      <c r="K267" s="27" t="s">
        <v>189</v>
      </c>
    </row>
    <row r="268" spans="1:11">
      <c r="A268" s="27">
        <v>50</v>
      </c>
      <c r="B268" s="26" t="s">
        <v>237</v>
      </c>
      <c r="C268" s="26" t="s">
        <v>451</v>
      </c>
      <c r="D268" s="27" t="s">
        <v>51</v>
      </c>
      <c r="E268" s="27">
        <v>2</v>
      </c>
      <c r="F268" s="46">
        <v>500000</v>
      </c>
      <c r="G268" s="27"/>
      <c r="H268" s="27"/>
      <c r="I268" s="125">
        <f t="shared" si="11"/>
        <v>500000</v>
      </c>
      <c r="J268" s="126">
        <f t="shared" si="12"/>
        <v>1000000</v>
      </c>
      <c r="K268" s="27" t="s">
        <v>189</v>
      </c>
    </row>
    <row r="269" spans="1:11">
      <c r="A269" s="27">
        <v>51</v>
      </c>
      <c r="B269" s="26" t="s">
        <v>238</v>
      </c>
      <c r="C269" s="26" t="s">
        <v>451</v>
      </c>
      <c r="D269" s="27" t="s">
        <v>51</v>
      </c>
      <c r="E269" s="27">
        <v>2</v>
      </c>
      <c r="F269" s="46">
        <v>260000</v>
      </c>
      <c r="G269" s="27"/>
      <c r="H269" s="27"/>
      <c r="I269" s="125">
        <f t="shared" si="11"/>
        <v>260000</v>
      </c>
      <c r="J269" s="126">
        <f t="shared" si="12"/>
        <v>520000</v>
      </c>
      <c r="K269" s="27" t="s">
        <v>189</v>
      </c>
    </row>
    <row r="270" spans="1:11">
      <c r="A270" s="27">
        <v>52</v>
      </c>
      <c r="B270" s="26" t="s">
        <v>239</v>
      </c>
      <c r="C270" s="26" t="s">
        <v>451</v>
      </c>
      <c r="D270" s="27" t="s">
        <v>51</v>
      </c>
      <c r="E270" s="27">
        <v>2</v>
      </c>
      <c r="F270" s="46">
        <v>500000</v>
      </c>
      <c r="G270" s="27"/>
      <c r="H270" s="27"/>
      <c r="I270" s="125">
        <f t="shared" si="11"/>
        <v>500000</v>
      </c>
      <c r="J270" s="126">
        <f t="shared" si="12"/>
        <v>1000000</v>
      </c>
      <c r="K270" s="27" t="s">
        <v>189</v>
      </c>
    </row>
    <row r="271" spans="1:11">
      <c r="A271" s="27">
        <v>53</v>
      </c>
      <c r="B271" s="26" t="s">
        <v>240</v>
      </c>
      <c r="C271" s="26" t="s">
        <v>451</v>
      </c>
      <c r="D271" s="27" t="s">
        <v>51</v>
      </c>
      <c r="E271" s="27">
        <v>2</v>
      </c>
      <c r="F271" s="46">
        <v>260000</v>
      </c>
      <c r="G271" s="27"/>
      <c r="H271" s="27"/>
      <c r="I271" s="125">
        <f t="shared" si="11"/>
        <v>260000</v>
      </c>
      <c r="J271" s="126">
        <f t="shared" si="12"/>
        <v>520000</v>
      </c>
      <c r="K271" s="27" t="s">
        <v>189</v>
      </c>
    </row>
    <row r="272" spans="1:11">
      <c r="A272" s="27">
        <v>54</v>
      </c>
      <c r="B272" s="26" t="s">
        <v>241</v>
      </c>
      <c r="C272" s="26" t="s">
        <v>451</v>
      </c>
      <c r="D272" s="27" t="s">
        <v>51</v>
      </c>
      <c r="E272" s="27">
        <v>2</v>
      </c>
      <c r="F272" s="46">
        <v>260000</v>
      </c>
      <c r="G272" s="27"/>
      <c r="H272" s="27"/>
      <c r="I272" s="125">
        <f t="shared" si="11"/>
        <v>260000</v>
      </c>
      <c r="J272" s="126">
        <f t="shared" si="12"/>
        <v>520000</v>
      </c>
      <c r="K272" s="27" t="s">
        <v>189</v>
      </c>
    </row>
    <row r="273" spans="1:11">
      <c r="A273" s="27">
        <v>55</v>
      </c>
      <c r="B273" s="26" t="s">
        <v>242</v>
      </c>
      <c r="C273" s="26" t="s">
        <v>451</v>
      </c>
      <c r="D273" s="27" t="s">
        <v>51</v>
      </c>
      <c r="E273" s="27">
        <v>2</v>
      </c>
      <c r="F273" s="46">
        <v>500000</v>
      </c>
      <c r="G273" s="27"/>
      <c r="H273" s="27"/>
      <c r="I273" s="125">
        <f t="shared" si="11"/>
        <v>500000</v>
      </c>
      <c r="J273" s="126">
        <f t="shared" si="12"/>
        <v>1000000</v>
      </c>
      <c r="K273" s="27" t="s">
        <v>189</v>
      </c>
    </row>
    <row r="274" spans="1:11">
      <c r="A274" s="27">
        <v>56</v>
      </c>
      <c r="B274" s="26" t="s">
        <v>243</v>
      </c>
      <c r="C274" s="26" t="s">
        <v>451</v>
      </c>
      <c r="D274" s="27" t="s">
        <v>51</v>
      </c>
      <c r="E274" s="27">
        <v>2</v>
      </c>
      <c r="F274" s="46">
        <v>260000</v>
      </c>
      <c r="G274" s="27"/>
      <c r="H274" s="27"/>
      <c r="I274" s="125">
        <f t="shared" si="11"/>
        <v>260000</v>
      </c>
      <c r="J274" s="126">
        <f t="shared" si="12"/>
        <v>520000</v>
      </c>
      <c r="K274" s="27" t="s">
        <v>189</v>
      </c>
    </row>
    <row r="275" spans="1:11">
      <c r="A275" s="27">
        <v>57</v>
      </c>
      <c r="B275" s="26" t="s">
        <v>244</v>
      </c>
      <c r="C275" s="26" t="s">
        <v>451</v>
      </c>
      <c r="D275" s="27" t="s">
        <v>51</v>
      </c>
      <c r="E275" s="27">
        <v>2</v>
      </c>
      <c r="F275" s="46">
        <v>500000</v>
      </c>
      <c r="G275" s="27"/>
      <c r="H275" s="27"/>
      <c r="I275" s="125">
        <f t="shared" si="11"/>
        <v>500000</v>
      </c>
      <c r="J275" s="126">
        <f t="shared" si="12"/>
        <v>1000000</v>
      </c>
      <c r="K275" s="27" t="s">
        <v>189</v>
      </c>
    </row>
    <row r="276" spans="1:11">
      <c r="A276" s="27">
        <v>58</v>
      </c>
      <c r="B276" s="26" t="s">
        <v>245</v>
      </c>
      <c r="C276" s="26" t="s">
        <v>451</v>
      </c>
      <c r="D276" s="27" t="s">
        <v>51</v>
      </c>
      <c r="E276" s="27">
        <v>2</v>
      </c>
      <c r="F276" s="46">
        <v>260000</v>
      </c>
      <c r="G276" s="27"/>
      <c r="H276" s="27"/>
      <c r="I276" s="125">
        <f t="shared" si="11"/>
        <v>260000</v>
      </c>
      <c r="J276" s="126">
        <f t="shared" si="12"/>
        <v>520000</v>
      </c>
      <c r="K276" s="27" t="s">
        <v>189</v>
      </c>
    </row>
    <row r="277" spans="1:11">
      <c r="A277" s="27">
        <v>59</v>
      </c>
      <c r="B277" s="26" t="s">
        <v>246</v>
      </c>
      <c r="C277" s="26" t="s">
        <v>451</v>
      </c>
      <c r="D277" s="27" t="s">
        <v>51</v>
      </c>
      <c r="E277" s="27">
        <v>2</v>
      </c>
      <c r="F277" s="46">
        <v>260000</v>
      </c>
      <c r="G277" s="27"/>
      <c r="H277" s="27"/>
      <c r="I277" s="125">
        <f t="shared" si="11"/>
        <v>260000</v>
      </c>
      <c r="J277" s="126">
        <f t="shared" si="12"/>
        <v>520000</v>
      </c>
      <c r="K277" s="27" t="s">
        <v>189</v>
      </c>
    </row>
    <row r="278" spans="1:11">
      <c r="A278" s="27">
        <v>60</v>
      </c>
      <c r="B278" s="26" t="s">
        <v>247</v>
      </c>
      <c r="C278" s="26" t="s">
        <v>451</v>
      </c>
      <c r="D278" s="27" t="s">
        <v>51</v>
      </c>
      <c r="E278" s="27">
        <v>2</v>
      </c>
      <c r="F278" s="46">
        <v>260000</v>
      </c>
      <c r="G278" s="27"/>
      <c r="H278" s="27"/>
      <c r="I278" s="125">
        <f t="shared" si="11"/>
        <v>260000</v>
      </c>
      <c r="J278" s="126">
        <f t="shared" si="12"/>
        <v>520000</v>
      </c>
      <c r="K278" s="27" t="s">
        <v>189</v>
      </c>
    </row>
    <row r="279" spans="1:11">
      <c r="A279" s="27">
        <v>61</v>
      </c>
      <c r="B279" s="26" t="s">
        <v>248</v>
      </c>
      <c r="C279" s="26" t="s">
        <v>451</v>
      </c>
      <c r="D279" s="27" t="s">
        <v>51</v>
      </c>
      <c r="E279" s="27">
        <v>3</v>
      </c>
      <c r="F279" s="46">
        <v>500000</v>
      </c>
      <c r="G279" s="27"/>
      <c r="H279" s="27"/>
      <c r="I279" s="125">
        <f t="shared" si="11"/>
        <v>500000</v>
      </c>
      <c r="J279" s="126">
        <f t="shared" si="12"/>
        <v>1500000</v>
      </c>
      <c r="K279" s="27" t="s">
        <v>189</v>
      </c>
    </row>
    <row r="280" spans="1:11">
      <c r="A280" s="27">
        <v>62</v>
      </c>
      <c r="B280" s="40" t="s">
        <v>249</v>
      </c>
      <c r="C280" s="26" t="s">
        <v>451</v>
      </c>
      <c r="D280" s="27" t="s">
        <v>51</v>
      </c>
      <c r="E280" s="27">
        <v>2</v>
      </c>
      <c r="F280" s="46">
        <v>500000</v>
      </c>
      <c r="G280" s="27"/>
      <c r="H280" s="27"/>
      <c r="I280" s="125">
        <f t="shared" si="11"/>
        <v>500000</v>
      </c>
      <c r="J280" s="126">
        <f t="shared" si="12"/>
        <v>1000000</v>
      </c>
      <c r="K280" s="27" t="s">
        <v>189</v>
      </c>
    </row>
    <row r="281" spans="1:11">
      <c r="A281" s="27">
        <v>63</v>
      </c>
      <c r="B281" s="26" t="s">
        <v>250</v>
      </c>
      <c r="C281" s="26" t="s">
        <v>451</v>
      </c>
      <c r="D281" s="27" t="s">
        <v>51</v>
      </c>
      <c r="E281" s="27">
        <v>2</v>
      </c>
      <c r="F281" s="46">
        <v>500000</v>
      </c>
      <c r="G281" s="27"/>
      <c r="H281" s="27"/>
      <c r="I281" s="125">
        <f t="shared" si="11"/>
        <v>500000</v>
      </c>
      <c r="J281" s="126">
        <f t="shared" si="12"/>
        <v>1000000</v>
      </c>
      <c r="K281" s="27" t="s">
        <v>189</v>
      </c>
    </row>
    <row r="282" spans="1:11">
      <c r="A282" s="27">
        <v>64</v>
      </c>
      <c r="B282" s="26" t="s">
        <v>251</v>
      </c>
      <c r="C282" s="26" t="s">
        <v>451</v>
      </c>
      <c r="D282" s="27" t="s">
        <v>51</v>
      </c>
      <c r="E282" s="27">
        <v>2</v>
      </c>
      <c r="F282" s="46">
        <v>500000</v>
      </c>
      <c r="G282" s="27"/>
      <c r="H282" s="27"/>
      <c r="I282" s="125">
        <f t="shared" si="11"/>
        <v>500000</v>
      </c>
      <c r="J282" s="126">
        <f t="shared" si="12"/>
        <v>1000000</v>
      </c>
      <c r="K282" s="27" t="s">
        <v>189</v>
      </c>
    </row>
    <row r="283" spans="1:11">
      <c r="A283" s="27">
        <v>65</v>
      </c>
      <c r="B283" s="26" t="s">
        <v>251</v>
      </c>
      <c r="C283" s="26" t="s">
        <v>451</v>
      </c>
      <c r="D283" s="27" t="s">
        <v>51</v>
      </c>
      <c r="E283" s="27">
        <v>2</v>
      </c>
      <c r="F283" s="46">
        <v>500000</v>
      </c>
      <c r="G283" s="27"/>
      <c r="H283" s="27"/>
      <c r="I283" s="125">
        <f t="shared" ref="I283:I316" si="13">F283</f>
        <v>500000</v>
      </c>
      <c r="J283" s="126">
        <f t="shared" ref="J283:J314" si="14">E283*I283</f>
        <v>1000000</v>
      </c>
      <c r="K283" s="27" t="s">
        <v>189</v>
      </c>
    </row>
    <row r="284" spans="1:11">
      <c r="A284" s="27">
        <v>66</v>
      </c>
      <c r="B284" s="26" t="s">
        <v>252</v>
      </c>
      <c r="C284" s="26" t="s">
        <v>451</v>
      </c>
      <c r="D284" s="27" t="s">
        <v>51</v>
      </c>
      <c r="E284" s="27">
        <v>2</v>
      </c>
      <c r="F284" s="46">
        <v>500000</v>
      </c>
      <c r="G284" s="27"/>
      <c r="H284" s="27"/>
      <c r="I284" s="125">
        <f t="shared" si="13"/>
        <v>500000</v>
      </c>
      <c r="J284" s="126">
        <f t="shared" si="14"/>
        <v>1000000</v>
      </c>
      <c r="K284" s="27" t="s">
        <v>189</v>
      </c>
    </row>
    <row r="285" spans="1:11">
      <c r="A285" s="27">
        <v>67</v>
      </c>
      <c r="B285" s="26" t="s">
        <v>253</v>
      </c>
      <c r="C285" s="26" t="s">
        <v>451</v>
      </c>
      <c r="D285" s="27" t="s">
        <v>51</v>
      </c>
      <c r="E285" s="27">
        <v>2</v>
      </c>
      <c r="F285" s="46">
        <v>260000</v>
      </c>
      <c r="G285" s="27"/>
      <c r="H285" s="27"/>
      <c r="I285" s="125">
        <f t="shared" si="13"/>
        <v>260000</v>
      </c>
      <c r="J285" s="126">
        <f t="shared" si="14"/>
        <v>520000</v>
      </c>
      <c r="K285" s="27" t="s">
        <v>189</v>
      </c>
    </row>
    <row r="286" spans="1:11">
      <c r="A286" s="27">
        <v>68</v>
      </c>
      <c r="B286" s="26" t="s">
        <v>254</v>
      </c>
      <c r="C286" s="26" t="s">
        <v>451</v>
      </c>
      <c r="D286" s="27" t="s">
        <v>51</v>
      </c>
      <c r="E286" s="27">
        <v>2</v>
      </c>
      <c r="F286" s="46">
        <v>500000</v>
      </c>
      <c r="G286" s="27"/>
      <c r="H286" s="27"/>
      <c r="I286" s="125">
        <f t="shared" si="13"/>
        <v>500000</v>
      </c>
      <c r="J286" s="126">
        <f t="shared" si="14"/>
        <v>1000000</v>
      </c>
      <c r="K286" s="27" t="s">
        <v>189</v>
      </c>
    </row>
    <row r="287" spans="1:11">
      <c r="A287" s="27">
        <v>69</v>
      </c>
      <c r="B287" s="26" t="s">
        <v>255</v>
      </c>
      <c r="C287" s="26" t="s">
        <v>451</v>
      </c>
      <c r="D287" s="27" t="s">
        <v>51</v>
      </c>
      <c r="E287" s="27">
        <v>2</v>
      </c>
      <c r="F287" s="46">
        <v>500000</v>
      </c>
      <c r="G287" s="27"/>
      <c r="H287" s="27"/>
      <c r="I287" s="125">
        <f t="shared" si="13"/>
        <v>500000</v>
      </c>
      <c r="J287" s="126">
        <f t="shared" si="14"/>
        <v>1000000</v>
      </c>
      <c r="K287" s="27" t="s">
        <v>189</v>
      </c>
    </row>
    <row r="288" spans="1:11">
      <c r="A288" s="27">
        <v>70</v>
      </c>
      <c r="B288" s="26" t="s">
        <v>256</v>
      </c>
      <c r="C288" s="26" t="s">
        <v>451</v>
      </c>
      <c r="D288" s="27" t="s">
        <v>51</v>
      </c>
      <c r="E288" s="27">
        <v>2</v>
      </c>
      <c r="F288" s="46">
        <v>500000</v>
      </c>
      <c r="G288" s="27"/>
      <c r="H288" s="27"/>
      <c r="I288" s="125">
        <f t="shared" si="13"/>
        <v>500000</v>
      </c>
      <c r="J288" s="126">
        <f t="shared" si="14"/>
        <v>1000000</v>
      </c>
      <c r="K288" s="27" t="s">
        <v>189</v>
      </c>
    </row>
    <row r="289" spans="1:11">
      <c r="A289" s="27">
        <v>71</v>
      </c>
      <c r="B289" s="26" t="s">
        <v>257</v>
      </c>
      <c r="C289" s="26" t="s">
        <v>451</v>
      </c>
      <c r="D289" s="27" t="s">
        <v>51</v>
      </c>
      <c r="E289" s="27">
        <v>2</v>
      </c>
      <c r="F289" s="46">
        <v>500000</v>
      </c>
      <c r="G289" s="27"/>
      <c r="H289" s="27"/>
      <c r="I289" s="125">
        <f t="shared" si="13"/>
        <v>500000</v>
      </c>
      <c r="J289" s="126">
        <f t="shared" si="14"/>
        <v>1000000</v>
      </c>
      <c r="K289" s="27" t="s">
        <v>189</v>
      </c>
    </row>
    <row r="290" spans="1:11">
      <c r="A290" s="27">
        <v>72</v>
      </c>
      <c r="B290" s="26" t="s">
        <v>258</v>
      </c>
      <c r="C290" s="26" t="s">
        <v>451</v>
      </c>
      <c r="D290" s="27" t="s">
        <v>51</v>
      </c>
      <c r="E290" s="27">
        <v>2</v>
      </c>
      <c r="F290" s="46">
        <v>260000</v>
      </c>
      <c r="G290" s="27"/>
      <c r="H290" s="27"/>
      <c r="I290" s="125">
        <f t="shared" si="13"/>
        <v>260000</v>
      </c>
      <c r="J290" s="126">
        <f t="shared" si="14"/>
        <v>520000</v>
      </c>
      <c r="K290" s="27" t="s">
        <v>189</v>
      </c>
    </row>
    <row r="291" spans="1:11">
      <c r="A291" s="27">
        <v>73</v>
      </c>
      <c r="B291" s="26" t="s">
        <v>259</v>
      </c>
      <c r="C291" s="26" t="s">
        <v>451</v>
      </c>
      <c r="D291" s="27" t="s">
        <v>51</v>
      </c>
      <c r="E291" s="27">
        <v>2</v>
      </c>
      <c r="F291" s="46">
        <v>260000</v>
      </c>
      <c r="G291" s="27"/>
      <c r="H291" s="27"/>
      <c r="I291" s="125">
        <f t="shared" si="13"/>
        <v>260000</v>
      </c>
      <c r="J291" s="126">
        <f t="shared" si="14"/>
        <v>520000</v>
      </c>
      <c r="K291" s="27" t="s">
        <v>189</v>
      </c>
    </row>
    <row r="292" spans="1:11">
      <c r="A292" s="27">
        <v>74</v>
      </c>
      <c r="B292" s="26" t="s">
        <v>260</v>
      </c>
      <c r="C292" s="26" t="s">
        <v>451</v>
      </c>
      <c r="D292" s="27" t="s">
        <v>51</v>
      </c>
      <c r="E292" s="27">
        <v>2</v>
      </c>
      <c r="F292" s="46">
        <v>260000</v>
      </c>
      <c r="G292" s="27"/>
      <c r="H292" s="27"/>
      <c r="I292" s="125">
        <f t="shared" si="13"/>
        <v>260000</v>
      </c>
      <c r="J292" s="126">
        <f t="shared" si="14"/>
        <v>520000</v>
      </c>
      <c r="K292" s="27" t="s">
        <v>189</v>
      </c>
    </row>
    <row r="293" spans="1:11">
      <c r="A293" s="27">
        <v>75</v>
      </c>
      <c r="B293" s="26" t="s">
        <v>261</v>
      </c>
      <c r="C293" s="26" t="s">
        <v>451</v>
      </c>
      <c r="D293" s="27" t="s">
        <v>51</v>
      </c>
      <c r="E293" s="27">
        <v>2</v>
      </c>
      <c r="F293" s="46">
        <v>500000</v>
      </c>
      <c r="G293" s="27"/>
      <c r="H293" s="27"/>
      <c r="I293" s="125">
        <f t="shared" si="13"/>
        <v>500000</v>
      </c>
      <c r="J293" s="126">
        <f t="shared" si="14"/>
        <v>1000000</v>
      </c>
      <c r="K293" s="27" t="s">
        <v>189</v>
      </c>
    </row>
    <row r="294" spans="1:11">
      <c r="A294" s="27">
        <v>76</v>
      </c>
      <c r="B294" s="26" t="s">
        <v>262</v>
      </c>
      <c r="C294" s="26" t="s">
        <v>451</v>
      </c>
      <c r="D294" s="27" t="s">
        <v>51</v>
      </c>
      <c r="E294" s="27">
        <v>2</v>
      </c>
      <c r="F294" s="46">
        <v>260000</v>
      </c>
      <c r="G294" s="27"/>
      <c r="H294" s="27"/>
      <c r="I294" s="125">
        <f t="shared" si="13"/>
        <v>260000</v>
      </c>
      <c r="J294" s="126">
        <f t="shared" si="14"/>
        <v>520000</v>
      </c>
      <c r="K294" s="27" t="s">
        <v>189</v>
      </c>
    </row>
    <row r="295" spans="1:11">
      <c r="A295" s="27">
        <v>77</v>
      </c>
      <c r="B295" s="26" t="s">
        <v>263</v>
      </c>
      <c r="C295" s="26" t="s">
        <v>451</v>
      </c>
      <c r="D295" s="27" t="s">
        <v>51</v>
      </c>
      <c r="E295" s="27">
        <v>5</v>
      </c>
      <c r="F295" s="46">
        <v>500000</v>
      </c>
      <c r="G295" s="27"/>
      <c r="H295" s="27"/>
      <c r="I295" s="125">
        <f t="shared" si="13"/>
        <v>500000</v>
      </c>
      <c r="J295" s="126">
        <f t="shared" si="14"/>
        <v>2500000</v>
      </c>
      <c r="K295" s="27" t="s">
        <v>189</v>
      </c>
    </row>
    <row r="296" spans="1:11">
      <c r="A296" s="27">
        <v>78</v>
      </c>
      <c r="B296" s="26" t="s">
        <v>264</v>
      </c>
      <c r="C296" s="26" t="s">
        <v>451</v>
      </c>
      <c r="D296" s="27" t="s">
        <v>51</v>
      </c>
      <c r="E296" s="27">
        <v>2</v>
      </c>
      <c r="F296" s="46">
        <v>500000</v>
      </c>
      <c r="G296" s="27"/>
      <c r="H296" s="27"/>
      <c r="I296" s="125">
        <f t="shared" si="13"/>
        <v>500000</v>
      </c>
      <c r="J296" s="126">
        <f t="shared" si="14"/>
        <v>1000000</v>
      </c>
      <c r="K296" s="27" t="s">
        <v>189</v>
      </c>
    </row>
    <row r="297" spans="1:11">
      <c r="A297" s="27">
        <v>79</v>
      </c>
      <c r="B297" s="26" t="s">
        <v>265</v>
      </c>
      <c r="C297" s="26" t="s">
        <v>451</v>
      </c>
      <c r="D297" s="27" t="s">
        <v>51</v>
      </c>
      <c r="E297" s="27">
        <v>2</v>
      </c>
      <c r="F297" s="46">
        <v>750000</v>
      </c>
      <c r="G297" s="27"/>
      <c r="H297" s="27"/>
      <c r="I297" s="125">
        <f t="shared" si="13"/>
        <v>750000</v>
      </c>
      <c r="J297" s="126">
        <f t="shared" si="14"/>
        <v>1500000</v>
      </c>
      <c r="K297" s="27" t="s">
        <v>189</v>
      </c>
    </row>
    <row r="298" spans="1:11">
      <c r="A298" s="27">
        <v>80</v>
      </c>
      <c r="B298" s="26" t="s">
        <v>266</v>
      </c>
      <c r="C298" s="26" t="s">
        <v>451</v>
      </c>
      <c r="D298" s="27" t="s">
        <v>51</v>
      </c>
      <c r="E298" s="27">
        <v>2</v>
      </c>
      <c r="F298" s="46">
        <v>260000</v>
      </c>
      <c r="G298" s="27"/>
      <c r="H298" s="27"/>
      <c r="I298" s="125">
        <f t="shared" si="13"/>
        <v>260000</v>
      </c>
      <c r="J298" s="126">
        <f t="shared" si="14"/>
        <v>520000</v>
      </c>
      <c r="K298" s="27" t="s">
        <v>189</v>
      </c>
    </row>
    <row r="299" spans="1:11">
      <c r="A299" s="27">
        <v>81</v>
      </c>
      <c r="B299" s="26" t="s">
        <v>267</v>
      </c>
      <c r="C299" s="26" t="s">
        <v>451</v>
      </c>
      <c r="D299" s="27" t="s">
        <v>51</v>
      </c>
      <c r="E299" s="27">
        <v>2</v>
      </c>
      <c r="F299" s="46">
        <v>500000</v>
      </c>
      <c r="G299" s="27"/>
      <c r="H299" s="27"/>
      <c r="I299" s="125">
        <f t="shared" si="13"/>
        <v>500000</v>
      </c>
      <c r="J299" s="126">
        <f t="shared" si="14"/>
        <v>1000000</v>
      </c>
      <c r="K299" s="27" t="s">
        <v>189</v>
      </c>
    </row>
    <row r="300" spans="1:11">
      <c r="A300" s="27">
        <v>82</v>
      </c>
      <c r="B300" s="26" t="s">
        <v>268</v>
      </c>
      <c r="C300" s="26" t="s">
        <v>451</v>
      </c>
      <c r="D300" s="27" t="s">
        <v>51</v>
      </c>
      <c r="E300" s="27">
        <v>2</v>
      </c>
      <c r="F300" s="46">
        <v>500000</v>
      </c>
      <c r="G300" s="27"/>
      <c r="H300" s="27"/>
      <c r="I300" s="125">
        <f t="shared" si="13"/>
        <v>500000</v>
      </c>
      <c r="J300" s="126">
        <f t="shared" si="14"/>
        <v>1000000</v>
      </c>
      <c r="K300" s="27" t="s">
        <v>189</v>
      </c>
    </row>
    <row r="301" spans="1:11">
      <c r="A301" s="27">
        <v>83</v>
      </c>
      <c r="B301" s="26" t="s">
        <v>269</v>
      </c>
      <c r="C301" s="26" t="s">
        <v>451</v>
      </c>
      <c r="D301" s="27" t="s">
        <v>51</v>
      </c>
      <c r="E301" s="27">
        <v>2</v>
      </c>
      <c r="F301" s="46">
        <v>260000</v>
      </c>
      <c r="G301" s="27"/>
      <c r="H301" s="27"/>
      <c r="I301" s="125">
        <f t="shared" si="13"/>
        <v>260000</v>
      </c>
      <c r="J301" s="126">
        <f t="shared" si="14"/>
        <v>520000</v>
      </c>
      <c r="K301" s="27" t="s">
        <v>189</v>
      </c>
    </row>
    <row r="302" spans="1:11">
      <c r="A302" s="27">
        <v>84</v>
      </c>
      <c r="B302" s="26" t="s">
        <v>270</v>
      </c>
      <c r="C302" s="26" t="s">
        <v>451</v>
      </c>
      <c r="D302" s="27" t="s">
        <v>51</v>
      </c>
      <c r="E302" s="27">
        <v>2</v>
      </c>
      <c r="F302" s="46">
        <v>260000</v>
      </c>
      <c r="G302" s="27"/>
      <c r="H302" s="27"/>
      <c r="I302" s="125">
        <f t="shared" si="13"/>
        <v>260000</v>
      </c>
      <c r="J302" s="126">
        <f t="shared" si="14"/>
        <v>520000</v>
      </c>
      <c r="K302" s="27" t="s">
        <v>189</v>
      </c>
    </row>
    <row r="303" spans="1:11">
      <c r="A303" s="27">
        <v>85</v>
      </c>
      <c r="B303" s="26" t="s">
        <v>271</v>
      </c>
      <c r="C303" s="26" t="s">
        <v>451</v>
      </c>
      <c r="D303" s="27" t="s">
        <v>51</v>
      </c>
      <c r="E303" s="27">
        <v>2</v>
      </c>
      <c r="F303" s="46">
        <v>260000</v>
      </c>
      <c r="G303" s="27"/>
      <c r="H303" s="27"/>
      <c r="I303" s="125">
        <f t="shared" si="13"/>
        <v>260000</v>
      </c>
      <c r="J303" s="126">
        <f t="shared" si="14"/>
        <v>520000</v>
      </c>
      <c r="K303" s="27" t="s">
        <v>189</v>
      </c>
    </row>
    <row r="304" spans="1:11">
      <c r="A304" s="27">
        <v>86</v>
      </c>
      <c r="B304" s="26" t="s">
        <v>272</v>
      </c>
      <c r="C304" s="26" t="s">
        <v>451</v>
      </c>
      <c r="D304" s="27" t="s">
        <v>51</v>
      </c>
      <c r="E304" s="27">
        <v>2</v>
      </c>
      <c r="F304" s="46">
        <v>500000</v>
      </c>
      <c r="G304" s="27"/>
      <c r="H304" s="27"/>
      <c r="I304" s="125">
        <f t="shared" si="13"/>
        <v>500000</v>
      </c>
      <c r="J304" s="126">
        <f t="shared" si="14"/>
        <v>1000000</v>
      </c>
      <c r="K304" s="27" t="s">
        <v>189</v>
      </c>
    </row>
    <row r="305" spans="1:11">
      <c r="A305" s="27">
        <v>87</v>
      </c>
      <c r="B305" s="26" t="s">
        <v>273</v>
      </c>
      <c r="C305" s="26" t="s">
        <v>451</v>
      </c>
      <c r="D305" s="27" t="s">
        <v>51</v>
      </c>
      <c r="E305" s="27">
        <v>2</v>
      </c>
      <c r="F305" s="46">
        <v>500000</v>
      </c>
      <c r="G305" s="27"/>
      <c r="H305" s="27"/>
      <c r="I305" s="125">
        <f t="shared" si="13"/>
        <v>500000</v>
      </c>
      <c r="J305" s="126">
        <f t="shared" si="14"/>
        <v>1000000</v>
      </c>
      <c r="K305" s="27" t="s">
        <v>189</v>
      </c>
    </row>
    <row r="306" spans="1:11">
      <c r="A306" s="27">
        <v>88</v>
      </c>
      <c r="B306" s="26" t="s">
        <v>274</v>
      </c>
      <c r="C306" s="26" t="s">
        <v>451</v>
      </c>
      <c r="D306" s="27" t="s">
        <v>51</v>
      </c>
      <c r="E306" s="27">
        <v>2</v>
      </c>
      <c r="F306" s="46">
        <v>260000</v>
      </c>
      <c r="G306" s="27"/>
      <c r="H306" s="27"/>
      <c r="I306" s="125">
        <f t="shared" si="13"/>
        <v>260000</v>
      </c>
      <c r="J306" s="126">
        <f t="shared" si="14"/>
        <v>520000</v>
      </c>
      <c r="K306" s="27" t="s">
        <v>189</v>
      </c>
    </row>
    <row r="307" spans="1:11">
      <c r="A307" s="27">
        <v>89</v>
      </c>
      <c r="B307" s="26" t="s">
        <v>275</v>
      </c>
      <c r="C307" s="26" t="s">
        <v>451</v>
      </c>
      <c r="D307" s="27" t="s">
        <v>51</v>
      </c>
      <c r="E307" s="27">
        <v>2</v>
      </c>
      <c r="F307" s="46">
        <v>260000</v>
      </c>
      <c r="G307" s="27"/>
      <c r="H307" s="27"/>
      <c r="I307" s="125">
        <f t="shared" si="13"/>
        <v>260000</v>
      </c>
      <c r="J307" s="126">
        <f t="shared" si="14"/>
        <v>520000</v>
      </c>
      <c r="K307" s="27" t="s">
        <v>189</v>
      </c>
    </row>
    <row r="308" spans="1:11">
      <c r="A308" s="27">
        <v>90</v>
      </c>
      <c r="B308" s="26" t="s">
        <v>276</v>
      </c>
      <c r="C308" s="26" t="s">
        <v>451</v>
      </c>
      <c r="D308" s="27" t="s">
        <v>51</v>
      </c>
      <c r="E308" s="27">
        <v>2</v>
      </c>
      <c r="F308" s="46">
        <v>260000</v>
      </c>
      <c r="G308" s="27"/>
      <c r="H308" s="27"/>
      <c r="I308" s="125">
        <f t="shared" si="13"/>
        <v>260000</v>
      </c>
      <c r="J308" s="126">
        <f t="shared" si="14"/>
        <v>520000</v>
      </c>
      <c r="K308" s="27" t="s">
        <v>189</v>
      </c>
    </row>
    <row r="309" spans="1:11">
      <c r="A309" s="27">
        <v>91</v>
      </c>
      <c r="B309" s="26" t="s">
        <v>277</v>
      </c>
      <c r="C309" s="26" t="s">
        <v>451</v>
      </c>
      <c r="D309" s="27" t="s">
        <v>51</v>
      </c>
      <c r="E309" s="27">
        <v>2</v>
      </c>
      <c r="F309" s="46">
        <v>260000</v>
      </c>
      <c r="G309" s="27"/>
      <c r="H309" s="27"/>
      <c r="I309" s="125">
        <f t="shared" si="13"/>
        <v>260000</v>
      </c>
      <c r="J309" s="126">
        <f t="shared" si="14"/>
        <v>520000</v>
      </c>
      <c r="K309" s="27" t="s">
        <v>189</v>
      </c>
    </row>
    <row r="310" spans="1:11">
      <c r="A310" s="27">
        <v>92</v>
      </c>
      <c r="B310" s="26" t="s">
        <v>278</v>
      </c>
      <c r="C310" s="26" t="s">
        <v>451</v>
      </c>
      <c r="D310" s="27" t="s">
        <v>51</v>
      </c>
      <c r="E310" s="27">
        <v>2</v>
      </c>
      <c r="F310" s="46">
        <v>260000</v>
      </c>
      <c r="G310" s="27"/>
      <c r="H310" s="27"/>
      <c r="I310" s="125">
        <f t="shared" si="13"/>
        <v>260000</v>
      </c>
      <c r="J310" s="126">
        <f t="shared" si="14"/>
        <v>520000</v>
      </c>
      <c r="K310" s="27" t="s">
        <v>189</v>
      </c>
    </row>
    <row r="311" spans="1:11">
      <c r="A311" s="27">
        <v>93</v>
      </c>
      <c r="B311" s="26" t="s">
        <v>279</v>
      </c>
      <c r="C311" s="26" t="s">
        <v>451</v>
      </c>
      <c r="D311" s="27" t="s">
        <v>51</v>
      </c>
      <c r="E311" s="27">
        <v>2</v>
      </c>
      <c r="F311" s="46">
        <v>260000</v>
      </c>
      <c r="G311" s="27"/>
      <c r="H311" s="27"/>
      <c r="I311" s="125">
        <f t="shared" si="13"/>
        <v>260000</v>
      </c>
      <c r="J311" s="126">
        <f t="shared" si="14"/>
        <v>520000</v>
      </c>
      <c r="K311" s="27" t="s">
        <v>189</v>
      </c>
    </row>
    <row r="312" spans="1:11">
      <c r="A312" s="27">
        <v>94</v>
      </c>
      <c r="B312" s="26" t="s">
        <v>280</v>
      </c>
      <c r="C312" s="26" t="s">
        <v>451</v>
      </c>
      <c r="D312" s="27" t="s">
        <v>51</v>
      </c>
      <c r="E312" s="27">
        <v>2</v>
      </c>
      <c r="F312" s="46">
        <v>500000</v>
      </c>
      <c r="G312" s="27"/>
      <c r="H312" s="27"/>
      <c r="I312" s="125">
        <f t="shared" si="13"/>
        <v>500000</v>
      </c>
      <c r="J312" s="126">
        <f t="shared" si="14"/>
        <v>1000000</v>
      </c>
      <c r="K312" s="27" t="s">
        <v>189</v>
      </c>
    </row>
    <row r="313" spans="1:11">
      <c r="A313" s="27">
        <v>95</v>
      </c>
      <c r="B313" s="26" t="s">
        <v>282</v>
      </c>
      <c r="C313" s="26" t="s">
        <v>451</v>
      </c>
      <c r="D313" s="27" t="s">
        <v>51</v>
      </c>
      <c r="E313" s="27">
        <v>2</v>
      </c>
      <c r="F313" s="46">
        <v>260000</v>
      </c>
      <c r="G313" s="27"/>
      <c r="H313" s="27"/>
      <c r="I313" s="125">
        <f t="shared" si="13"/>
        <v>260000</v>
      </c>
      <c r="J313" s="126">
        <f t="shared" si="14"/>
        <v>520000</v>
      </c>
      <c r="K313" s="27" t="s">
        <v>189</v>
      </c>
    </row>
    <row r="314" spans="1:11">
      <c r="A314" s="27">
        <v>96</v>
      </c>
      <c r="B314" s="26" t="s">
        <v>283</v>
      </c>
      <c r="C314" s="26" t="s">
        <v>451</v>
      </c>
      <c r="D314" s="27" t="s">
        <v>51</v>
      </c>
      <c r="E314" s="27">
        <v>2</v>
      </c>
      <c r="F314" s="46">
        <v>500000</v>
      </c>
      <c r="G314" s="27"/>
      <c r="H314" s="27"/>
      <c r="I314" s="125">
        <f t="shared" si="13"/>
        <v>500000</v>
      </c>
      <c r="J314" s="126">
        <f t="shared" si="14"/>
        <v>1000000</v>
      </c>
      <c r="K314" s="27" t="s">
        <v>189</v>
      </c>
    </row>
    <row r="315" spans="1:11">
      <c r="A315" s="27">
        <v>97</v>
      </c>
      <c r="B315" s="26" t="s">
        <v>284</v>
      </c>
      <c r="C315" s="26" t="s">
        <v>451</v>
      </c>
      <c r="D315" s="27" t="s">
        <v>51</v>
      </c>
      <c r="E315" s="27">
        <v>2</v>
      </c>
      <c r="F315" s="46">
        <v>500000</v>
      </c>
      <c r="G315" s="27"/>
      <c r="H315" s="27"/>
      <c r="I315" s="125">
        <f t="shared" si="13"/>
        <v>500000</v>
      </c>
      <c r="J315" s="126">
        <f t="shared" ref="J315:J316" si="15">E315*I315</f>
        <v>1000000</v>
      </c>
      <c r="K315" s="27" t="s">
        <v>189</v>
      </c>
    </row>
    <row r="316" spans="1:11">
      <c r="A316" s="29">
        <v>98</v>
      </c>
      <c r="B316" s="28" t="s">
        <v>285</v>
      </c>
      <c r="C316" s="28" t="s">
        <v>451</v>
      </c>
      <c r="D316" s="29" t="s">
        <v>51</v>
      </c>
      <c r="E316" s="29">
        <v>2</v>
      </c>
      <c r="F316" s="172">
        <v>500000</v>
      </c>
      <c r="G316" s="29"/>
      <c r="H316" s="29"/>
      <c r="I316" s="132">
        <f t="shared" si="13"/>
        <v>500000</v>
      </c>
      <c r="J316" s="193">
        <f t="shared" si="15"/>
        <v>1000000</v>
      </c>
      <c r="K316" s="29" t="s">
        <v>189</v>
      </c>
    </row>
    <row r="317" spans="1:11" ht="78.75">
      <c r="A317" s="238" t="s">
        <v>286</v>
      </c>
      <c r="B317" s="238"/>
      <c r="C317" s="99" t="s">
        <v>3</v>
      </c>
      <c r="D317" s="99" t="s">
        <v>8</v>
      </c>
      <c r="E317" s="99" t="s">
        <v>374</v>
      </c>
      <c r="F317" s="165" t="s">
        <v>472</v>
      </c>
      <c r="G317" s="121"/>
      <c r="H317" s="121"/>
      <c r="I317" s="69" t="s">
        <v>9</v>
      </c>
      <c r="J317" s="69">
        <f>SUM(J318:J355)</f>
        <v>14850000</v>
      </c>
      <c r="K317" s="1"/>
    </row>
    <row r="318" spans="1:11" s="209" customFormat="1">
      <c r="A318" s="212">
        <v>1</v>
      </c>
      <c r="B318" s="218" t="s">
        <v>287</v>
      </c>
      <c r="C318" s="214" t="s">
        <v>189</v>
      </c>
      <c r="D318" s="214" t="s">
        <v>469</v>
      </c>
      <c r="E318" s="214">
        <v>1</v>
      </c>
      <c r="F318" s="215">
        <v>330000</v>
      </c>
      <c r="G318" s="214"/>
      <c r="H318" s="214"/>
      <c r="I318" s="216">
        <f>MIN(F318:H318)</f>
        <v>330000</v>
      </c>
      <c r="J318" s="217">
        <f>E318*I318</f>
        <v>330000</v>
      </c>
      <c r="K318" s="27" t="s">
        <v>189</v>
      </c>
    </row>
    <row r="319" spans="1:11" s="221" customFormat="1">
      <c r="A319" s="212">
        <v>2</v>
      </c>
      <c r="B319" s="127" t="s">
        <v>289</v>
      </c>
      <c r="C319" s="214" t="s">
        <v>189</v>
      </c>
      <c r="D319" s="214" t="s">
        <v>469</v>
      </c>
      <c r="E319" s="214">
        <v>2</v>
      </c>
      <c r="F319" s="215">
        <v>330000</v>
      </c>
      <c r="G319" s="214"/>
      <c r="H319" s="214"/>
      <c r="I319" s="216">
        <f>MIN(F319:H319)</f>
        <v>330000</v>
      </c>
      <c r="J319" s="217">
        <f>E319*I319</f>
        <v>660000</v>
      </c>
      <c r="K319" s="27" t="s">
        <v>189</v>
      </c>
    </row>
    <row r="320" spans="1:11" s="209" customFormat="1">
      <c r="A320" s="212">
        <v>3</v>
      </c>
      <c r="B320" s="219" t="s">
        <v>290</v>
      </c>
      <c r="C320" s="214" t="s">
        <v>189</v>
      </c>
      <c r="D320" s="214" t="s">
        <v>469</v>
      </c>
      <c r="E320" s="214">
        <v>2</v>
      </c>
      <c r="F320" s="215">
        <v>330000</v>
      </c>
      <c r="G320" s="214"/>
      <c r="H320" s="214"/>
      <c r="I320" s="216">
        <f t="shared" ref="I320:I355" si="16">MIN(F320:H320)</f>
        <v>330000</v>
      </c>
      <c r="J320" s="217">
        <f t="shared" ref="J320:J355" si="17">E320*I320</f>
        <v>660000</v>
      </c>
      <c r="K320" s="27" t="s">
        <v>189</v>
      </c>
    </row>
    <row r="321" spans="1:11" s="209" customFormat="1">
      <c r="A321" s="212">
        <v>4</v>
      </c>
      <c r="B321" s="213" t="s">
        <v>291</v>
      </c>
      <c r="C321" s="214" t="s">
        <v>189</v>
      </c>
      <c r="D321" s="214" t="s">
        <v>469</v>
      </c>
      <c r="E321" s="214">
        <v>1</v>
      </c>
      <c r="F321" s="215">
        <v>330000</v>
      </c>
      <c r="G321" s="214"/>
      <c r="H321" s="214"/>
      <c r="I321" s="216">
        <f t="shared" si="16"/>
        <v>330000</v>
      </c>
      <c r="J321" s="217">
        <f t="shared" si="17"/>
        <v>330000</v>
      </c>
      <c r="K321" s="27" t="s">
        <v>189</v>
      </c>
    </row>
    <row r="322" spans="1:11" s="221" customFormat="1">
      <c r="A322" s="212">
        <v>5</v>
      </c>
      <c r="B322" s="26" t="s">
        <v>292</v>
      </c>
      <c r="C322" s="214" t="s">
        <v>189</v>
      </c>
      <c r="D322" s="214" t="s">
        <v>469</v>
      </c>
      <c r="E322" s="214">
        <v>1</v>
      </c>
      <c r="F322" s="215">
        <v>330000</v>
      </c>
      <c r="G322" s="214"/>
      <c r="H322" s="214"/>
      <c r="I322" s="216">
        <f t="shared" si="16"/>
        <v>330000</v>
      </c>
      <c r="J322" s="217">
        <f t="shared" si="17"/>
        <v>330000</v>
      </c>
      <c r="K322" s="27" t="s">
        <v>189</v>
      </c>
    </row>
    <row r="323" spans="1:11" s="209" customFormat="1">
      <c r="A323" s="212">
        <v>6</v>
      </c>
      <c r="B323" s="48" t="s">
        <v>293</v>
      </c>
      <c r="C323" s="214" t="s">
        <v>189</v>
      </c>
      <c r="D323" s="214" t="s">
        <v>469</v>
      </c>
      <c r="E323" s="214">
        <v>1</v>
      </c>
      <c r="F323" s="215">
        <v>330000</v>
      </c>
      <c r="G323" s="214"/>
      <c r="H323" s="214"/>
      <c r="I323" s="216">
        <f t="shared" si="16"/>
        <v>330000</v>
      </c>
      <c r="J323" s="217">
        <f t="shared" si="17"/>
        <v>330000</v>
      </c>
      <c r="K323" s="27" t="s">
        <v>189</v>
      </c>
    </row>
    <row r="324" spans="1:11" s="209" customFormat="1">
      <c r="A324" s="212">
        <v>7</v>
      </c>
      <c r="B324" s="48" t="s">
        <v>294</v>
      </c>
      <c r="C324" s="214" t="s">
        <v>189</v>
      </c>
      <c r="D324" s="214" t="s">
        <v>469</v>
      </c>
      <c r="E324" s="214">
        <v>1</v>
      </c>
      <c r="F324" s="215">
        <v>330000</v>
      </c>
      <c r="G324" s="214"/>
      <c r="H324" s="214"/>
      <c r="I324" s="216">
        <f t="shared" si="16"/>
        <v>330000</v>
      </c>
      <c r="J324" s="217">
        <f t="shared" si="17"/>
        <v>330000</v>
      </c>
      <c r="K324" s="27" t="s">
        <v>189</v>
      </c>
    </row>
    <row r="325" spans="1:11" s="209" customFormat="1">
      <c r="A325" s="212">
        <v>8</v>
      </c>
      <c r="B325" s="48" t="s">
        <v>295</v>
      </c>
      <c r="C325" s="214" t="s">
        <v>189</v>
      </c>
      <c r="D325" s="214" t="s">
        <v>469</v>
      </c>
      <c r="E325" s="214">
        <v>1</v>
      </c>
      <c r="F325" s="215">
        <v>330000</v>
      </c>
      <c r="G325" s="214"/>
      <c r="H325" s="214"/>
      <c r="I325" s="216">
        <f t="shared" si="16"/>
        <v>330000</v>
      </c>
      <c r="J325" s="217">
        <f t="shared" si="17"/>
        <v>330000</v>
      </c>
      <c r="K325" s="27" t="s">
        <v>189</v>
      </c>
    </row>
    <row r="326" spans="1:11" s="209" customFormat="1">
      <c r="A326" s="212">
        <v>9</v>
      </c>
      <c r="B326" s="48" t="s">
        <v>296</v>
      </c>
      <c r="C326" s="214" t="s">
        <v>189</v>
      </c>
      <c r="D326" s="214" t="s">
        <v>469</v>
      </c>
      <c r="E326" s="214">
        <v>1</v>
      </c>
      <c r="F326" s="215">
        <v>330000</v>
      </c>
      <c r="G326" s="214"/>
      <c r="H326" s="214"/>
      <c r="I326" s="216">
        <f t="shared" si="16"/>
        <v>330000</v>
      </c>
      <c r="J326" s="217">
        <f t="shared" si="17"/>
        <v>330000</v>
      </c>
      <c r="K326" s="27" t="s">
        <v>189</v>
      </c>
    </row>
    <row r="327" spans="1:11" s="209" customFormat="1">
      <c r="A327" s="212">
        <v>10</v>
      </c>
      <c r="B327" s="48" t="s">
        <v>297</v>
      </c>
      <c r="C327" s="214" t="s">
        <v>189</v>
      </c>
      <c r="D327" s="214" t="s">
        <v>469</v>
      </c>
      <c r="E327" s="214">
        <v>1</v>
      </c>
      <c r="F327" s="215">
        <v>330000</v>
      </c>
      <c r="G327" s="214"/>
      <c r="H327" s="214"/>
      <c r="I327" s="216">
        <f t="shared" si="16"/>
        <v>330000</v>
      </c>
      <c r="J327" s="217">
        <f t="shared" si="17"/>
        <v>330000</v>
      </c>
      <c r="K327" s="27" t="s">
        <v>189</v>
      </c>
    </row>
    <row r="328" spans="1:11" s="209" customFormat="1">
      <c r="A328" s="212">
        <v>11</v>
      </c>
      <c r="B328" s="48" t="s">
        <v>298</v>
      </c>
      <c r="C328" s="214" t="s">
        <v>189</v>
      </c>
      <c r="D328" s="214" t="s">
        <v>469</v>
      </c>
      <c r="E328" s="214">
        <v>1</v>
      </c>
      <c r="F328" s="215">
        <v>330000</v>
      </c>
      <c r="G328" s="214"/>
      <c r="H328" s="214"/>
      <c r="I328" s="216">
        <f t="shared" si="16"/>
        <v>330000</v>
      </c>
      <c r="J328" s="217">
        <f t="shared" si="17"/>
        <v>330000</v>
      </c>
      <c r="K328" s="27" t="s">
        <v>189</v>
      </c>
    </row>
    <row r="329" spans="1:11" s="221" customFormat="1">
      <c r="A329" s="212">
        <v>12</v>
      </c>
      <c r="B329" s="220" t="s">
        <v>470</v>
      </c>
      <c r="C329" s="214" t="s">
        <v>189</v>
      </c>
      <c r="D329" s="214" t="s">
        <v>469</v>
      </c>
      <c r="E329" s="214">
        <v>1</v>
      </c>
      <c r="F329" s="215">
        <v>330000</v>
      </c>
      <c r="G329" s="214"/>
      <c r="H329" s="214"/>
      <c r="I329" s="216">
        <f t="shared" si="16"/>
        <v>330000</v>
      </c>
      <c r="J329" s="217">
        <f t="shared" si="17"/>
        <v>330000</v>
      </c>
      <c r="K329" s="27" t="s">
        <v>189</v>
      </c>
    </row>
    <row r="330" spans="1:11" s="209" customFormat="1">
      <c r="A330" s="212">
        <v>13</v>
      </c>
      <c r="B330" s="26" t="s">
        <v>299</v>
      </c>
      <c r="C330" s="214" t="s">
        <v>189</v>
      </c>
      <c r="D330" s="214" t="s">
        <v>469</v>
      </c>
      <c r="E330" s="214">
        <v>1</v>
      </c>
      <c r="F330" s="215">
        <v>330000</v>
      </c>
      <c r="G330" s="214"/>
      <c r="H330" s="214"/>
      <c r="I330" s="216">
        <f t="shared" si="16"/>
        <v>330000</v>
      </c>
      <c r="J330" s="217">
        <f t="shared" si="17"/>
        <v>330000</v>
      </c>
      <c r="K330" s="27" t="s">
        <v>189</v>
      </c>
    </row>
    <row r="331" spans="1:11" s="209" customFormat="1">
      <c r="A331" s="212">
        <v>14</v>
      </c>
      <c r="B331" s="26" t="s">
        <v>300</v>
      </c>
      <c r="C331" s="214" t="s">
        <v>189</v>
      </c>
      <c r="D331" s="214" t="s">
        <v>469</v>
      </c>
      <c r="E331" s="214">
        <v>1</v>
      </c>
      <c r="F331" s="215">
        <v>330000</v>
      </c>
      <c r="G331" s="214"/>
      <c r="H331" s="214"/>
      <c r="I331" s="216">
        <f t="shared" si="16"/>
        <v>330000</v>
      </c>
      <c r="J331" s="217">
        <f t="shared" si="17"/>
        <v>330000</v>
      </c>
      <c r="K331" s="27" t="s">
        <v>189</v>
      </c>
    </row>
    <row r="332" spans="1:11" s="209" customFormat="1">
      <c r="A332" s="212">
        <v>15</v>
      </c>
      <c r="B332" s="48" t="s">
        <v>301</v>
      </c>
      <c r="C332" s="214" t="s">
        <v>189</v>
      </c>
      <c r="D332" s="214" t="s">
        <v>469</v>
      </c>
      <c r="E332" s="214">
        <v>2</v>
      </c>
      <c r="F332" s="215">
        <v>330000</v>
      </c>
      <c r="G332" s="214"/>
      <c r="H332" s="214"/>
      <c r="I332" s="216">
        <f t="shared" si="16"/>
        <v>330000</v>
      </c>
      <c r="J332" s="217">
        <f t="shared" si="17"/>
        <v>660000</v>
      </c>
      <c r="K332" s="27" t="s">
        <v>189</v>
      </c>
    </row>
    <row r="333" spans="1:11" s="209" customFormat="1">
      <c r="A333" s="212">
        <v>16</v>
      </c>
      <c r="B333" s="48" t="s">
        <v>302</v>
      </c>
      <c r="C333" s="214" t="s">
        <v>189</v>
      </c>
      <c r="D333" s="214" t="s">
        <v>469</v>
      </c>
      <c r="E333" s="214">
        <v>1</v>
      </c>
      <c r="F333" s="215">
        <v>330000</v>
      </c>
      <c r="G333" s="214"/>
      <c r="H333" s="214"/>
      <c r="I333" s="216">
        <f t="shared" si="16"/>
        <v>330000</v>
      </c>
      <c r="J333" s="217">
        <f t="shared" si="17"/>
        <v>330000</v>
      </c>
      <c r="K333" s="27" t="s">
        <v>189</v>
      </c>
    </row>
    <row r="334" spans="1:11" s="221" customFormat="1">
      <c r="A334" s="212">
        <v>17</v>
      </c>
      <c r="B334" s="213" t="s">
        <v>303</v>
      </c>
      <c r="C334" s="214" t="s">
        <v>189</v>
      </c>
      <c r="D334" s="214" t="s">
        <v>469</v>
      </c>
      <c r="E334" s="214">
        <v>1</v>
      </c>
      <c r="F334" s="215">
        <v>330000</v>
      </c>
      <c r="G334" s="214"/>
      <c r="H334" s="214"/>
      <c r="I334" s="216">
        <f t="shared" si="16"/>
        <v>330000</v>
      </c>
      <c r="J334" s="217">
        <f t="shared" si="17"/>
        <v>330000</v>
      </c>
      <c r="K334" s="27" t="s">
        <v>189</v>
      </c>
    </row>
    <row r="335" spans="1:11" s="209" customFormat="1">
      <c r="A335" s="212">
        <v>18</v>
      </c>
      <c r="B335" s="48" t="s">
        <v>304</v>
      </c>
      <c r="C335" s="214" t="s">
        <v>189</v>
      </c>
      <c r="D335" s="214" t="s">
        <v>469</v>
      </c>
      <c r="E335" s="214">
        <v>1</v>
      </c>
      <c r="F335" s="215">
        <v>330000</v>
      </c>
      <c r="G335" s="214"/>
      <c r="H335" s="214"/>
      <c r="I335" s="216">
        <f t="shared" si="16"/>
        <v>330000</v>
      </c>
      <c r="J335" s="217">
        <f t="shared" si="17"/>
        <v>330000</v>
      </c>
      <c r="K335" s="27" t="s">
        <v>189</v>
      </c>
    </row>
    <row r="336" spans="1:11" s="209" customFormat="1">
      <c r="A336" s="212">
        <v>19</v>
      </c>
      <c r="B336" s="48" t="s">
        <v>305</v>
      </c>
      <c r="C336" s="214" t="s">
        <v>189</v>
      </c>
      <c r="D336" s="214" t="s">
        <v>469</v>
      </c>
      <c r="E336" s="214">
        <v>1</v>
      </c>
      <c r="F336" s="215">
        <v>330000</v>
      </c>
      <c r="G336" s="214"/>
      <c r="H336" s="214"/>
      <c r="I336" s="216">
        <f t="shared" si="16"/>
        <v>330000</v>
      </c>
      <c r="J336" s="217">
        <f t="shared" si="17"/>
        <v>330000</v>
      </c>
      <c r="K336" s="27" t="s">
        <v>189</v>
      </c>
    </row>
    <row r="337" spans="1:11" s="209" customFormat="1">
      <c r="A337" s="212">
        <v>20</v>
      </c>
      <c r="B337" s="48" t="s">
        <v>471</v>
      </c>
      <c r="C337" s="214" t="s">
        <v>189</v>
      </c>
      <c r="D337" s="214" t="s">
        <v>469</v>
      </c>
      <c r="E337" s="214">
        <v>1</v>
      </c>
      <c r="F337" s="215">
        <v>330000</v>
      </c>
      <c r="G337" s="214"/>
      <c r="H337" s="214"/>
      <c r="I337" s="216">
        <f t="shared" si="16"/>
        <v>330000</v>
      </c>
      <c r="J337" s="217">
        <f t="shared" si="17"/>
        <v>330000</v>
      </c>
      <c r="K337" s="27" t="s">
        <v>189</v>
      </c>
    </row>
    <row r="338" spans="1:11" s="209" customFormat="1">
      <c r="A338" s="212">
        <v>21</v>
      </c>
      <c r="B338" s="48" t="s">
        <v>306</v>
      </c>
      <c r="C338" s="214" t="s">
        <v>189</v>
      </c>
      <c r="D338" s="214" t="s">
        <v>469</v>
      </c>
      <c r="E338" s="214">
        <v>1</v>
      </c>
      <c r="F338" s="215">
        <v>330000</v>
      </c>
      <c r="G338" s="214"/>
      <c r="H338" s="214"/>
      <c r="I338" s="216">
        <f t="shared" si="16"/>
        <v>330000</v>
      </c>
      <c r="J338" s="217">
        <f t="shared" si="17"/>
        <v>330000</v>
      </c>
      <c r="K338" s="27" t="s">
        <v>189</v>
      </c>
    </row>
    <row r="339" spans="1:11" s="209" customFormat="1">
      <c r="A339" s="212">
        <v>22</v>
      </c>
      <c r="B339" s="48" t="s">
        <v>307</v>
      </c>
      <c r="C339" s="214" t="s">
        <v>189</v>
      </c>
      <c r="D339" s="214" t="s">
        <v>469</v>
      </c>
      <c r="E339" s="214">
        <v>1</v>
      </c>
      <c r="F339" s="215">
        <v>330000</v>
      </c>
      <c r="G339" s="214"/>
      <c r="H339" s="214"/>
      <c r="I339" s="216">
        <f t="shared" si="16"/>
        <v>330000</v>
      </c>
      <c r="J339" s="217">
        <f t="shared" si="17"/>
        <v>330000</v>
      </c>
      <c r="K339" s="27" t="s">
        <v>189</v>
      </c>
    </row>
    <row r="340" spans="1:11" s="209" customFormat="1">
      <c r="A340" s="212">
        <v>23</v>
      </c>
      <c r="B340" s="48" t="s">
        <v>308</v>
      </c>
      <c r="C340" s="214" t="s">
        <v>189</v>
      </c>
      <c r="D340" s="214" t="s">
        <v>469</v>
      </c>
      <c r="E340" s="214">
        <v>1</v>
      </c>
      <c r="F340" s="215">
        <v>330000</v>
      </c>
      <c r="G340" s="214"/>
      <c r="H340" s="214"/>
      <c r="I340" s="216">
        <f t="shared" si="16"/>
        <v>330000</v>
      </c>
      <c r="J340" s="217">
        <f t="shared" si="17"/>
        <v>330000</v>
      </c>
      <c r="K340" s="27" t="s">
        <v>189</v>
      </c>
    </row>
    <row r="341" spans="1:11" s="209" customFormat="1">
      <c r="A341" s="212">
        <v>24</v>
      </c>
      <c r="B341" s="48" t="s">
        <v>309</v>
      </c>
      <c r="C341" s="214" t="s">
        <v>189</v>
      </c>
      <c r="D341" s="214" t="s">
        <v>469</v>
      </c>
      <c r="E341" s="214">
        <v>2</v>
      </c>
      <c r="F341" s="215">
        <v>330000</v>
      </c>
      <c r="G341" s="214"/>
      <c r="H341" s="214"/>
      <c r="I341" s="216">
        <f t="shared" si="16"/>
        <v>330000</v>
      </c>
      <c r="J341" s="217">
        <f t="shared" si="17"/>
        <v>660000</v>
      </c>
      <c r="K341" s="27" t="s">
        <v>189</v>
      </c>
    </row>
    <row r="342" spans="1:11" s="209" customFormat="1">
      <c r="A342" s="212">
        <v>25</v>
      </c>
      <c r="B342" s="48" t="s">
        <v>310</v>
      </c>
      <c r="C342" s="214" t="s">
        <v>189</v>
      </c>
      <c r="D342" s="214" t="s">
        <v>469</v>
      </c>
      <c r="E342" s="214">
        <v>1</v>
      </c>
      <c r="F342" s="215">
        <v>330000</v>
      </c>
      <c r="G342" s="214"/>
      <c r="H342" s="214"/>
      <c r="I342" s="216">
        <f t="shared" si="16"/>
        <v>330000</v>
      </c>
      <c r="J342" s="217">
        <f t="shared" si="17"/>
        <v>330000</v>
      </c>
      <c r="K342" s="27" t="s">
        <v>189</v>
      </c>
    </row>
    <row r="343" spans="1:11" s="209" customFormat="1">
      <c r="A343" s="212">
        <v>26</v>
      </c>
      <c r="B343" s="127" t="s">
        <v>311</v>
      </c>
      <c r="C343" s="214" t="s">
        <v>189</v>
      </c>
      <c r="D343" s="214" t="s">
        <v>469</v>
      </c>
      <c r="E343" s="214">
        <v>2</v>
      </c>
      <c r="F343" s="215">
        <v>330000</v>
      </c>
      <c r="G343" s="214"/>
      <c r="H343" s="214"/>
      <c r="I343" s="216">
        <f t="shared" si="16"/>
        <v>330000</v>
      </c>
      <c r="J343" s="217">
        <f t="shared" si="17"/>
        <v>660000</v>
      </c>
      <c r="K343" s="27" t="s">
        <v>189</v>
      </c>
    </row>
    <row r="344" spans="1:11" s="209" customFormat="1">
      <c r="A344" s="212">
        <v>27</v>
      </c>
      <c r="B344" s="127" t="s">
        <v>312</v>
      </c>
      <c r="C344" s="214" t="s">
        <v>189</v>
      </c>
      <c r="D344" s="214" t="s">
        <v>469</v>
      </c>
      <c r="E344" s="214">
        <v>2</v>
      </c>
      <c r="F344" s="215">
        <v>330000</v>
      </c>
      <c r="G344" s="214"/>
      <c r="H344" s="214"/>
      <c r="I344" s="216">
        <f t="shared" si="16"/>
        <v>330000</v>
      </c>
      <c r="J344" s="217">
        <f t="shared" si="17"/>
        <v>660000</v>
      </c>
      <c r="K344" s="27" t="s">
        <v>189</v>
      </c>
    </row>
    <row r="345" spans="1:11" s="209" customFormat="1">
      <c r="A345" s="212">
        <v>28</v>
      </c>
      <c r="B345" s="48" t="s">
        <v>313</v>
      </c>
      <c r="C345" s="214" t="s">
        <v>189</v>
      </c>
      <c r="D345" s="214" t="s">
        <v>469</v>
      </c>
      <c r="E345" s="214">
        <v>1</v>
      </c>
      <c r="F345" s="215">
        <v>330000</v>
      </c>
      <c r="G345" s="214"/>
      <c r="H345" s="214"/>
      <c r="I345" s="216">
        <f t="shared" si="16"/>
        <v>330000</v>
      </c>
      <c r="J345" s="217">
        <f t="shared" si="17"/>
        <v>330000</v>
      </c>
      <c r="K345" s="27" t="s">
        <v>189</v>
      </c>
    </row>
    <row r="346" spans="1:11" s="209" customFormat="1">
      <c r="A346" s="212">
        <v>29</v>
      </c>
      <c r="B346" s="90" t="s">
        <v>314</v>
      </c>
      <c r="C346" s="214" t="s">
        <v>189</v>
      </c>
      <c r="D346" s="214" t="s">
        <v>469</v>
      </c>
      <c r="E346" s="214">
        <v>2</v>
      </c>
      <c r="F346" s="215">
        <v>330000</v>
      </c>
      <c r="G346" s="214"/>
      <c r="H346" s="214"/>
      <c r="I346" s="216">
        <f t="shared" si="16"/>
        <v>330000</v>
      </c>
      <c r="J346" s="217">
        <f t="shared" si="17"/>
        <v>660000</v>
      </c>
      <c r="K346" s="27" t="s">
        <v>189</v>
      </c>
    </row>
    <row r="347" spans="1:11" s="221" customFormat="1">
      <c r="A347" s="212">
        <v>30</v>
      </c>
      <c r="B347" s="90" t="s">
        <v>317</v>
      </c>
      <c r="C347" s="214" t="s">
        <v>189</v>
      </c>
      <c r="D347" s="214" t="s">
        <v>469</v>
      </c>
      <c r="E347" s="214">
        <v>1</v>
      </c>
      <c r="F347" s="215">
        <v>330000</v>
      </c>
      <c r="G347" s="214"/>
      <c r="H347" s="214"/>
      <c r="I347" s="216">
        <f t="shared" si="16"/>
        <v>330000</v>
      </c>
      <c r="J347" s="217">
        <f t="shared" si="17"/>
        <v>330000</v>
      </c>
      <c r="K347" s="27" t="s">
        <v>189</v>
      </c>
    </row>
    <row r="348" spans="1:11" s="209" customFormat="1">
      <c r="A348" s="212">
        <v>31</v>
      </c>
      <c r="B348" s="4" t="s">
        <v>315</v>
      </c>
      <c r="C348" s="214" t="s">
        <v>189</v>
      </c>
      <c r="D348" s="214" t="s">
        <v>469</v>
      </c>
      <c r="E348" s="214">
        <v>1</v>
      </c>
      <c r="F348" s="215">
        <v>330000</v>
      </c>
      <c r="G348" s="214"/>
      <c r="H348" s="214"/>
      <c r="I348" s="216">
        <f t="shared" si="16"/>
        <v>330000</v>
      </c>
      <c r="J348" s="217">
        <f t="shared" si="17"/>
        <v>330000</v>
      </c>
      <c r="K348" s="27" t="s">
        <v>189</v>
      </c>
    </row>
    <row r="349" spans="1:11" s="209" customFormat="1">
      <c r="A349" s="212">
        <v>32</v>
      </c>
      <c r="B349" s="213" t="s">
        <v>318</v>
      </c>
      <c r="C349" s="214" t="s">
        <v>189</v>
      </c>
      <c r="D349" s="214" t="s">
        <v>469</v>
      </c>
      <c r="E349" s="214">
        <v>1</v>
      </c>
      <c r="F349" s="215">
        <v>330000</v>
      </c>
      <c r="G349" s="214"/>
      <c r="H349" s="214"/>
      <c r="I349" s="216">
        <f t="shared" si="16"/>
        <v>330000</v>
      </c>
      <c r="J349" s="217">
        <f t="shared" si="17"/>
        <v>330000</v>
      </c>
      <c r="K349" s="27" t="s">
        <v>189</v>
      </c>
    </row>
    <row r="350" spans="1:11" s="209" customFormat="1">
      <c r="A350" s="212">
        <v>33</v>
      </c>
      <c r="B350" s="213" t="s">
        <v>316</v>
      </c>
      <c r="C350" s="214" t="s">
        <v>189</v>
      </c>
      <c r="D350" s="214" t="s">
        <v>469</v>
      </c>
      <c r="E350" s="214">
        <v>1</v>
      </c>
      <c r="F350" s="215">
        <v>330000</v>
      </c>
      <c r="G350" s="214"/>
      <c r="H350" s="214"/>
      <c r="I350" s="216">
        <f t="shared" si="16"/>
        <v>330000</v>
      </c>
      <c r="J350" s="217">
        <f t="shared" si="17"/>
        <v>330000</v>
      </c>
      <c r="K350" s="27" t="s">
        <v>189</v>
      </c>
    </row>
    <row r="351" spans="1:11" s="209" customFormat="1">
      <c r="A351" s="212">
        <v>34</v>
      </c>
      <c r="B351" s="90" t="s">
        <v>319</v>
      </c>
      <c r="C351" s="214" t="s">
        <v>189</v>
      </c>
      <c r="D351" s="214" t="s">
        <v>469</v>
      </c>
      <c r="E351" s="214">
        <v>1</v>
      </c>
      <c r="F351" s="215">
        <v>330000</v>
      </c>
      <c r="G351" s="214"/>
      <c r="H351" s="214"/>
      <c r="I351" s="216">
        <f t="shared" si="16"/>
        <v>330000</v>
      </c>
      <c r="J351" s="217">
        <f t="shared" si="17"/>
        <v>330000</v>
      </c>
      <c r="K351" s="27" t="s">
        <v>189</v>
      </c>
    </row>
    <row r="352" spans="1:11" s="209" customFormat="1">
      <c r="A352" s="212">
        <v>35</v>
      </c>
      <c r="B352" s="90" t="s">
        <v>320</v>
      </c>
      <c r="C352" s="214" t="s">
        <v>189</v>
      </c>
      <c r="D352" s="214" t="s">
        <v>469</v>
      </c>
      <c r="E352" s="214">
        <v>1</v>
      </c>
      <c r="F352" s="215">
        <v>330000</v>
      </c>
      <c r="G352" s="214"/>
      <c r="H352" s="214"/>
      <c r="I352" s="216">
        <f t="shared" si="16"/>
        <v>330000</v>
      </c>
      <c r="J352" s="217">
        <f t="shared" si="17"/>
        <v>330000</v>
      </c>
      <c r="K352" s="27" t="s">
        <v>189</v>
      </c>
    </row>
    <row r="353" spans="1:11" s="209" customFormat="1">
      <c r="A353" s="212">
        <v>36</v>
      </c>
      <c r="B353" s="94" t="s">
        <v>321</v>
      </c>
      <c r="C353" s="214" t="s">
        <v>189</v>
      </c>
      <c r="D353" s="214" t="s">
        <v>469</v>
      </c>
      <c r="E353" s="214">
        <v>1</v>
      </c>
      <c r="F353" s="215">
        <v>330000</v>
      </c>
      <c r="G353" s="214"/>
      <c r="H353" s="214"/>
      <c r="I353" s="216">
        <f t="shared" si="16"/>
        <v>330000</v>
      </c>
      <c r="J353" s="217">
        <f t="shared" si="17"/>
        <v>330000</v>
      </c>
      <c r="K353" s="27" t="s">
        <v>189</v>
      </c>
    </row>
    <row r="354" spans="1:11" s="221" customFormat="1">
      <c r="A354" s="212">
        <v>37</v>
      </c>
      <c r="B354" s="213" t="s">
        <v>322</v>
      </c>
      <c r="C354" s="214" t="s">
        <v>189</v>
      </c>
      <c r="D354" s="214" t="s">
        <v>469</v>
      </c>
      <c r="E354" s="214">
        <v>1</v>
      </c>
      <c r="F354" s="215">
        <v>330000</v>
      </c>
      <c r="G354" s="214"/>
      <c r="H354" s="214"/>
      <c r="I354" s="216">
        <f t="shared" si="16"/>
        <v>330000</v>
      </c>
      <c r="J354" s="217">
        <f t="shared" si="17"/>
        <v>330000</v>
      </c>
      <c r="K354" s="27" t="s">
        <v>189</v>
      </c>
    </row>
    <row r="355" spans="1:11" s="209" customFormat="1">
      <c r="A355" s="212">
        <v>38</v>
      </c>
      <c r="B355" s="90" t="s">
        <v>323</v>
      </c>
      <c r="C355" s="214" t="s">
        <v>189</v>
      </c>
      <c r="D355" s="214" t="s">
        <v>469</v>
      </c>
      <c r="E355" s="214">
        <v>1</v>
      </c>
      <c r="F355" s="215">
        <v>330000</v>
      </c>
      <c r="G355" s="214"/>
      <c r="H355" s="214"/>
      <c r="I355" s="216">
        <f t="shared" si="16"/>
        <v>330000</v>
      </c>
      <c r="J355" s="217">
        <f t="shared" si="17"/>
        <v>330000</v>
      </c>
      <c r="K355" s="27" t="s">
        <v>189</v>
      </c>
    </row>
    <row r="356" spans="1:11">
      <c r="A356" s="99"/>
      <c r="B356" s="99" t="s">
        <v>72</v>
      </c>
      <c r="C356" s="99"/>
      <c r="D356" s="99"/>
      <c r="E356" s="99"/>
      <c r="F356" s="99"/>
      <c r="G356" s="99"/>
      <c r="H356" s="99"/>
      <c r="I356" s="99"/>
      <c r="J356" s="69">
        <f>J218+J317</f>
        <v>99830000</v>
      </c>
      <c r="K356" s="101"/>
    </row>
    <row r="358" spans="1:11">
      <c r="A358" s="229" t="s">
        <v>324</v>
      </c>
      <c r="B358" s="230"/>
      <c r="C358" s="230"/>
      <c r="D358" s="230"/>
      <c r="E358" s="230"/>
      <c r="F358" s="230"/>
      <c r="G358" s="230"/>
      <c r="H358" s="230"/>
      <c r="I358" s="230"/>
      <c r="J358" s="230"/>
      <c r="K358" s="230"/>
    </row>
    <row r="359" spans="1:11" ht="77.25" customHeight="1">
      <c r="A359" s="99" t="s">
        <v>2</v>
      </c>
      <c r="B359" s="99" t="s">
        <v>7</v>
      </c>
      <c r="C359" s="99" t="s">
        <v>3</v>
      </c>
      <c r="D359" s="99" t="s">
        <v>8</v>
      </c>
      <c r="E359" s="99" t="s">
        <v>374</v>
      </c>
      <c r="F359" s="45" t="s">
        <v>452</v>
      </c>
      <c r="G359" s="168" t="s">
        <v>453</v>
      </c>
      <c r="H359" s="121" t="s">
        <v>454</v>
      </c>
      <c r="I359" s="69" t="s">
        <v>462</v>
      </c>
      <c r="J359" s="121" t="s">
        <v>10</v>
      </c>
      <c r="K359" s="99" t="s">
        <v>4</v>
      </c>
    </row>
    <row r="360" spans="1:11" ht="31.5">
      <c r="A360" s="102">
        <v>1</v>
      </c>
      <c r="B360" s="128" t="s">
        <v>375</v>
      </c>
      <c r="C360" s="128" t="s">
        <v>325</v>
      </c>
      <c r="D360" s="122" t="s">
        <v>326</v>
      </c>
      <c r="E360" s="102">
        <v>2</v>
      </c>
      <c r="F360" s="167">
        <v>7800000</v>
      </c>
      <c r="G360" s="169">
        <v>8200000</v>
      </c>
      <c r="H360" s="123">
        <v>8500000</v>
      </c>
      <c r="I360" s="123">
        <f>MIN(F360:H360)</f>
        <v>7800000</v>
      </c>
      <c r="J360" s="129">
        <f>E360*I360</f>
        <v>15600000</v>
      </c>
      <c r="K360" s="102" t="s">
        <v>327</v>
      </c>
    </row>
    <row r="361" spans="1:11" ht="31.5">
      <c r="A361" s="27">
        <v>2</v>
      </c>
      <c r="B361" s="2" t="s">
        <v>376</v>
      </c>
      <c r="C361" s="2" t="s">
        <v>325</v>
      </c>
      <c r="D361" s="26" t="s">
        <v>326</v>
      </c>
      <c r="E361" s="27">
        <v>2</v>
      </c>
      <c r="F361" s="71">
        <v>7800000</v>
      </c>
      <c r="G361" s="170">
        <v>8200000</v>
      </c>
      <c r="H361" s="125">
        <v>8500000</v>
      </c>
      <c r="I361" s="125">
        <f>MIN(F361:H361)</f>
        <v>7800000</v>
      </c>
      <c r="J361" s="40">
        <f>E361*I361</f>
        <v>15600000</v>
      </c>
      <c r="K361" s="27" t="s">
        <v>328</v>
      </c>
    </row>
    <row r="362" spans="1:11" ht="63">
      <c r="A362" s="27">
        <v>3</v>
      </c>
      <c r="B362" s="130" t="s">
        <v>377</v>
      </c>
      <c r="C362" s="2" t="s">
        <v>325</v>
      </c>
      <c r="D362" s="26" t="s">
        <v>329</v>
      </c>
      <c r="E362" s="27">
        <v>1</v>
      </c>
      <c r="F362" s="71">
        <v>1780000</v>
      </c>
      <c r="G362" s="170">
        <v>1900000</v>
      </c>
      <c r="H362" s="125">
        <v>2000000</v>
      </c>
      <c r="I362" s="125">
        <f t="shared" ref="I362:I370" si="18">MIN(F362:H362)</f>
        <v>1780000</v>
      </c>
      <c r="J362" s="40">
        <f t="shared" ref="J362:J370" si="19">E362*I362</f>
        <v>1780000</v>
      </c>
      <c r="K362" s="27" t="s">
        <v>328</v>
      </c>
    </row>
    <row r="363" spans="1:11" ht="31.5">
      <c r="A363" s="27">
        <v>4</v>
      </c>
      <c r="B363" s="130" t="s">
        <v>378</v>
      </c>
      <c r="C363" s="2" t="s">
        <v>325</v>
      </c>
      <c r="D363" s="26" t="s">
        <v>326</v>
      </c>
      <c r="E363" s="27">
        <v>1</v>
      </c>
      <c r="F363" s="71">
        <v>7800000</v>
      </c>
      <c r="G363" s="170">
        <v>8200000</v>
      </c>
      <c r="H363" s="125">
        <v>8500000</v>
      </c>
      <c r="I363" s="125">
        <f t="shared" si="18"/>
        <v>7800000</v>
      </c>
      <c r="J363" s="40">
        <f t="shared" si="19"/>
        <v>7800000</v>
      </c>
      <c r="K363" s="27" t="s">
        <v>328</v>
      </c>
    </row>
    <row r="364" spans="1:11" ht="31.5">
      <c r="A364" s="27">
        <v>5</v>
      </c>
      <c r="B364" s="2" t="s">
        <v>379</v>
      </c>
      <c r="C364" s="2" t="s">
        <v>325</v>
      </c>
      <c r="D364" s="26" t="s">
        <v>326</v>
      </c>
      <c r="E364" s="27">
        <v>1</v>
      </c>
      <c r="F364" s="71">
        <v>7800000</v>
      </c>
      <c r="G364" s="170">
        <v>8200000</v>
      </c>
      <c r="H364" s="125">
        <v>8500000</v>
      </c>
      <c r="I364" s="125">
        <f t="shared" si="18"/>
        <v>7800000</v>
      </c>
      <c r="J364" s="40">
        <f t="shared" si="19"/>
        <v>7800000</v>
      </c>
      <c r="K364" s="27" t="s">
        <v>328</v>
      </c>
    </row>
    <row r="365" spans="1:11" ht="31.5">
      <c r="A365" s="27">
        <v>6</v>
      </c>
      <c r="B365" s="2" t="s">
        <v>380</v>
      </c>
      <c r="C365" s="2" t="s">
        <v>325</v>
      </c>
      <c r="D365" s="26" t="s">
        <v>326</v>
      </c>
      <c r="E365" s="27">
        <v>1</v>
      </c>
      <c r="F365" s="71">
        <v>7800000</v>
      </c>
      <c r="G365" s="170">
        <v>8200000</v>
      </c>
      <c r="H365" s="125">
        <v>8500000</v>
      </c>
      <c r="I365" s="125">
        <f t="shared" si="18"/>
        <v>7800000</v>
      </c>
      <c r="J365" s="40">
        <f t="shared" si="19"/>
        <v>7800000</v>
      </c>
      <c r="K365" s="27" t="s">
        <v>328</v>
      </c>
    </row>
    <row r="366" spans="1:11" ht="31.5">
      <c r="A366" s="27">
        <v>7</v>
      </c>
      <c r="B366" s="2" t="s">
        <v>381</v>
      </c>
      <c r="C366" s="2" t="s">
        <v>325</v>
      </c>
      <c r="D366" s="26" t="s">
        <v>326</v>
      </c>
      <c r="E366" s="27">
        <v>1</v>
      </c>
      <c r="F366" s="71">
        <v>7800000</v>
      </c>
      <c r="G366" s="170">
        <v>8200000</v>
      </c>
      <c r="H366" s="125">
        <v>8500000</v>
      </c>
      <c r="I366" s="125">
        <f t="shared" si="18"/>
        <v>7800000</v>
      </c>
      <c r="J366" s="40">
        <f t="shared" si="19"/>
        <v>7800000</v>
      </c>
      <c r="K366" s="27" t="s">
        <v>328</v>
      </c>
    </row>
    <row r="367" spans="1:11" ht="31.5">
      <c r="A367" s="27">
        <v>8</v>
      </c>
      <c r="B367" s="2" t="s">
        <v>382</v>
      </c>
      <c r="C367" s="2" t="s">
        <v>325</v>
      </c>
      <c r="D367" s="26" t="s">
        <v>326</v>
      </c>
      <c r="E367" s="27">
        <v>1</v>
      </c>
      <c r="F367" s="71">
        <v>7800000</v>
      </c>
      <c r="G367" s="170">
        <v>8200000</v>
      </c>
      <c r="H367" s="125">
        <v>8500000</v>
      </c>
      <c r="I367" s="125">
        <f t="shared" si="18"/>
        <v>7800000</v>
      </c>
      <c r="J367" s="40">
        <f t="shared" si="19"/>
        <v>7800000</v>
      </c>
      <c r="K367" s="27" t="s">
        <v>328</v>
      </c>
    </row>
    <row r="368" spans="1:11" ht="31.5">
      <c r="A368" s="27">
        <v>9</v>
      </c>
      <c r="B368" s="127" t="s">
        <v>383</v>
      </c>
      <c r="C368" s="2" t="s">
        <v>325</v>
      </c>
      <c r="D368" s="127" t="s">
        <v>326</v>
      </c>
      <c r="E368" s="27">
        <v>1</v>
      </c>
      <c r="F368" s="71">
        <v>7800000</v>
      </c>
      <c r="G368" s="170">
        <v>8200000</v>
      </c>
      <c r="H368" s="125">
        <v>8500000</v>
      </c>
      <c r="I368" s="125">
        <f t="shared" si="18"/>
        <v>7800000</v>
      </c>
      <c r="J368" s="40">
        <f t="shared" si="19"/>
        <v>7800000</v>
      </c>
      <c r="K368" s="27" t="s">
        <v>328</v>
      </c>
    </row>
    <row r="369" spans="1:11" ht="31.5">
      <c r="A369" s="27">
        <v>10</v>
      </c>
      <c r="B369" s="2" t="s">
        <v>384</v>
      </c>
      <c r="C369" s="2" t="s">
        <v>325</v>
      </c>
      <c r="D369" s="26" t="s">
        <v>326</v>
      </c>
      <c r="E369" s="27">
        <v>1</v>
      </c>
      <c r="F369" s="71">
        <v>7800000</v>
      </c>
      <c r="G369" s="170">
        <v>8200000</v>
      </c>
      <c r="H369" s="125">
        <v>8500000</v>
      </c>
      <c r="I369" s="125">
        <f t="shared" si="18"/>
        <v>7800000</v>
      </c>
      <c r="J369" s="40">
        <f t="shared" si="19"/>
        <v>7800000</v>
      </c>
      <c r="K369" s="27" t="s">
        <v>328</v>
      </c>
    </row>
    <row r="370" spans="1:11" ht="31.5">
      <c r="A370" s="29">
        <v>11</v>
      </c>
      <c r="B370" s="131" t="s">
        <v>385</v>
      </c>
      <c r="C370" s="131" t="s">
        <v>325</v>
      </c>
      <c r="D370" s="28" t="s">
        <v>326</v>
      </c>
      <c r="E370" s="29">
        <v>1</v>
      </c>
      <c r="F370" s="200">
        <v>7800000</v>
      </c>
      <c r="G370" s="201">
        <v>8200000</v>
      </c>
      <c r="H370" s="132">
        <v>8500000</v>
      </c>
      <c r="I370" s="132">
        <f t="shared" si="18"/>
        <v>7800000</v>
      </c>
      <c r="J370" s="202">
        <f t="shared" si="19"/>
        <v>7800000</v>
      </c>
      <c r="K370" s="29" t="s">
        <v>328</v>
      </c>
    </row>
    <row r="371" spans="1:11">
      <c r="A371" s="194"/>
      <c r="B371" s="203" t="s">
        <v>72</v>
      </c>
      <c r="C371" s="195"/>
      <c r="D371" s="196"/>
      <c r="E371" s="194"/>
      <c r="F371" s="197"/>
      <c r="G371" s="194"/>
      <c r="H371" s="194"/>
      <c r="I371" s="198"/>
      <c r="J371" s="199">
        <f>SUM(J360:J370)</f>
        <v>95380000</v>
      </c>
      <c r="K371" s="194"/>
    </row>
    <row r="373" spans="1:11">
      <c r="A373" s="229" t="s">
        <v>330</v>
      </c>
      <c r="B373" s="230"/>
      <c r="C373" s="230"/>
      <c r="D373" s="230"/>
      <c r="E373" s="230"/>
      <c r="F373" s="230"/>
      <c r="G373" s="230"/>
      <c r="H373" s="230"/>
      <c r="I373" s="230"/>
      <c r="J373" s="230"/>
      <c r="K373" s="230"/>
    </row>
    <row r="374" spans="1:11">
      <c r="A374" s="231" t="s">
        <v>2</v>
      </c>
      <c r="B374" s="231" t="s">
        <v>7</v>
      </c>
      <c r="C374" s="231" t="s">
        <v>413</v>
      </c>
      <c r="D374" s="231" t="s">
        <v>8</v>
      </c>
      <c r="E374" s="231" t="s">
        <v>414</v>
      </c>
      <c r="F374" s="233"/>
      <c r="G374" s="233"/>
      <c r="H374" s="233"/>
      <c r="I374" s="234" t="s">
        <v>415</v>
      </c>
      <c r="J374" s="236" t="s">
        <v>10</v>
      </c>
      <c r="K374" s="236" t="s">
        <v>4</v>
      </c>
    </row>
    <row r="375" spans="1:11" ht="63">
      <c r="A375" s="232"/>
      <c r="B375" s="232"/>
      <c r="C375" s="232"/>
      <c r="D375" s="232"/>
      <c r="E375" s="232"/>
      <c r="F375" s="159" t="s">
        <v>416</v>
      </c>
      <c r="G375" s="161" t="s">
        <v>444</v>
      </c>
      <c r="H375" s="64" t="s">
        <v>445</v>
      </c>
      <c r="I375" s="235"/>
      <c r="J375" s="237" t="s">
        <v>10</v>
      </c>
      <c r="K375" s="237" t="s">
        <v>4</v>
      </c>
    </row>
    <row r="376" spans="1:11">
      <c r="A376" s="133">
        <v>1</v>
      </c>
      <c r="B376" s="134" t="s">
        <v>332</v>
      </c>
      <c r="C376" s="70" t="s">
        <v>17</v>
      </c>
      <c r="D376" s="135" t="s">
        <v>333</v>
      </c>
      <c r="E376" s="135">
        <v>6</v>
      </c>
      <c r="F376" s="171">
        <f>3146000*1.1</f>
        <v>3460600.0000000005</v>
      </c>
      <c r="G376" s="173">
        <f>3401000*1.1</f>
        <v>3741100.0000000005</v>
      </c>
      <c r="H376" s="136">
        <f>3271000*1.1</f>
        <v>3598100.0000000005</v>
      </c>
      <c r="I376" s="137">
        <f t="shared" ref="I376:I406" si="20">MIN(F376:H376)</f>
        <v>3460600.0000000005</v>
      </c>
      <c r="J376" s="137">
        <f t="shared" ref="J376:J406" si="21">E376*I376</f>
        <v>20763600.000000004</v>
      </c>
      <c r="K376" s="133"/>
    </row>
    <row r="377" spans="1:11">
      <c r="A377" s="27">
        <v>2</v>
      </c>
      <c r="B377" s="3" t="s">
        <v>335</v>
      </c>
      <c r="C377" s="88" t="s">
        <v>281</v>
      </c>
      <c r="D377" s="88" t="s">
        <v>333</v>
      </c>
      <c r="E377" s="88">
        <v>6</v>
      </c>
      <c r="F377" s="46">
        <f>1644000*1.1</f>
        <v>1808400.0000000002</v>
      </c>
      <c r="G377" s="174">
        <f>1899000*1.1</f>
        <v>2088900.0000000002</v>
      </c>
      <c r="H377" s="62">
        <f>1769000*1.1</f>
        <v>1945900.0000000002</v>
      </c>
      <c r="I377" s="125">
        <f t="shared" si="20"/>
        <v>1808400.0000000002</v>
      </c>
      <c r="J377" s="125">
        <f t="shared" si="21"/>
        <v>10850400.000000002</v>
      </c>
      <c r="K377" s="27" t="s">
        <v>334</v>
      </c>
    </row>
    <row r="378" spans="1:11">
      <c r="A378" s="27">
        <v>3</v>
      </c>
      <c r="B378" s="3" t="s">
        <v>336</v>
      </c>
      <c r="C378" s="88" t="s">
        <v>439</v>
      </c>
      <c r="D378" s="88" t="s">
        <v>337</v>
      </c>
      <c r="E378" s="88">
        <v>10</v>
      </c>
      <c r="F378" s="46">
        <f>10000*1.1</f>
        <v>11000</v>
      </c>
      <c r="G378" s="174">
        <f>50000*1.1</f>
        <v>55000.000000000007</v>
      </c>
      <c r="H378" s="62">
        <f>30000*1.1</f>
        <v>33000</v>
      </c>
      <c r="I378" s="125">
        <f t="shared" si="20"/>
        <v>11000</v>
      </c>
      <c r="J378" s="125">
        <f t="shared" si="21"/>
        <v>110000</v>
      </c>
      <c r="K378" s="27"/>
    </row>
    <row r="379" spans="1:11">
      <c r="A379" s="27">
        <v>4</v>
      </c>
      <c r="B379" s="3" t="s">
        <v>338</v>
      </c>
      <c r="C379" s="88" t="s">
        <v>281</v>
      </c>
      <c r="D379" s="88" t="s">
        <v>288</v>
      </c>
      <c r="E379" s="88">
        <v>2</v>
      </c>
      <c r="F379" s="46">
        <f>227000*1.1</f>
        <v>249700.00000000003</v>
      </c>
      <c r="G379" s="174">
        <f>482000*1.1</f>
        <v>530200</v>
      </c>
      <c r="H379" s="62">
        <f>352000*1.1</f>
        <v>387200.00000000006</v>
      </c>
      <c r="I379" s="125">
        <f t="shared" si="20"/>
        <v>249700.00000000003</v>
      </c>
      <c r="J379" s="125">
        <f t="shared" si="21"/>
        <v>499400.00000000006</v>
      </c>
      <c r="K379" s="27"/>
    </row>
    <row r="380" spans="1:11">
      <c r="A380" s="27">
        <v>5</v>
      </c>
      <c r="B380" s="3" t="s">
        <v>455</v>
      </c>
      <c r="C380" s="88" t="s">
        <v>340</v>
      </c>
      <c r="D380" s="88" t="s">
        <v>331</v>
      </c>
      <c r="E380" s="88">
        <v>5</v>
      </c>
      <c r="F380" s="46">
        <f>2155000*1.1</f>
        <v>2370500</v>
      </c>
      <c r="G380" s="174">
        <f>2410000*1.1</f>
        <v>2651000</v>
      </c>
      <c r="H380" s="62">
        <f>2280000*1.1</f>
        <v>2508000</v>
      </c>
      <c r="I380" s="125">
        <f t="shared" si="20"/>
        <v>2370500</v>
      </c>
      <c r="J380" s="125">
        <f t="shared" si="21"/>
        <v>11852500</v>
      </c>
      <c r="K380" s="27"/>
    </row>
    <row r="381" spans="1:11">
      <c r="A381" s="27">
        <v>6</v>
      </c>
      <c r="B381" s="3" t="s">
        <v>341</v>
      </c>
      <c r="C381" s="88" t="s">
        <v>440</v>
      </c>
      <c r="D381" s="88" t="s">
        <v>331</v>
      </c>
      <c r="E381" s="88">
        <v>3</v>
      </c>
      <c r="F381" s="46">
        <f>92000*1.1</f>
        <v>101200.00000000001</v>
      </c>
      <c r="G381" s="174">
        <f>267000*1.1</f>
        <v>293700</v>
      </c>
      <c r="H381" s="62">
        <f>217000*1.1</f>
        <v>238700.00000000003</v>
      </c>
      <c r="I381" s="125">
        <f t="shared" si="20"/>
        <v>101200.00000000001</v>
      </c>
      <c r="J381" s="125">
        <f t="shared" si="21"/>
        <v>303600.00000000006</v>
      </c>
      <c r="K381" s="27"/>
    </row>
    <row r="382" spans="1:11">
      <c r="A382" s="27">
        <v>7</v>
      </c>
      <c r="B382" s="3" t="s">
        <v>342</v>
      </c>
      <c r="C382" s="88" t="s">
        <v>441</v>
      </c>
      <c r="D382" s="88" t="s">
        <v>331</v>
      </c>
      <c r="E382" s="88">
        <v>3</v>
      </c>
      <c r="F382" s="46">
        <f>169000*1.1</f>
        <v>185900.00000000003</v>
      </c>
      <c r="G382" s="174">
        <f>319000*1.1</f>
        <v>350900</v>
      </c>
      <c r="H382" s="62">
        <f>269000*1.1</f>
        <v>295900</v>
      </c>
      <c r="I382" s="125">
        <f t="shared" si="20"/>
        <v>185900.00000000003</v>
      </c>
      <c r="J382" s="125">
        <f t="shared" si="21"/>
        <v>557700.00000000012</v>
      </c>
      <c r="K382" s="27"/>
    </row>
    <row r="383" spans="1:11">
      <c r="A383" s="27">
        <v>8</v>
      </c>
      <c r="B383" s="3" t="s">
        <v>343</v>
      </c>
      <c r="C383" s="88" t="s">
        <v>432</v>
      </c>
      <c r="D383" s="88" t="s">
        <v>331</v>
      </c>
      <c r="E383" s="88">
        <v>1</v>
      </c>
      <c r="F383" s="46">
        <f>124000*1.1</f>
        <v>136400</v>
      </c>
      <c r="G383" s="174">
        <f>299000*1.1</f>
        <v>328900</v>
      </c>
      <c r="H383" s="62">
        <f>249000*1.1</f>
        <v>273900</v>
      </c>
      <c r="I383" s="125">
        <f t="shared" si="20"/>
        <v>136400</v>
      </c>
      <c r="J383" s="125">
        <f t="shared" si="21"/>
        <v>136400</v>
      </c>
      <c r="K383" s="27"/>
    </row>
    <row r="384" spans="1:11">
      <c r="A384" s="27">
        <v>9</v>
      </c>
      <c r="B384" s="3" t="s">
        <v>344</v>
      </c>
      <c r="C384" s="88" t="s">
        <v>432</v>
      </c>
      <c r="D384" s="88" t="s">
        <v>331</v>
      </c>
      <c r="E384" s="88">
        <v>1</v>
      </c>
      <c r="F384" s="46">
        <f>91000*1.1</f>
        <v>100100.00000000001</v>
      </c>
      <c r="G384" s="174">
        <f>191000*1.1</f>
        <v>210100.00000000003</v>
      </c>
      <c r="H384" s="62">
        <f>141000*1.1</f>
        <v>155100</v>
      </c>
      <c r="I384" s="125">
        <f t="shared" si="20"/>
        <v>100100.00000000001</v>
      </c>
      <c r="J384" s="125">
        <f t="shared" si="21"/>
        <v>100100.00000000001</v>
      </c>
      <c r="K384" s="27"/>
    </row>
    <row r="385" spans="1:11">
      <c r="A385" s="27">
        <v>10</v>
      </c>
      <c r="B385" s="3" t="s">
        <v>345</v>
      </c>
      <c r="C385" s="88" t="s">
        <v>432</v>
      </c>
      <c r="D385" s="88" t="s">
        <v>331</v>
      </c>
      <c r="E385" s="88">
        <v>1</v>
      </c>
      <c r="F385" s="46">
        <f>109000*1.1</f>
        <v>119900.00000000001</v>
      </c>
      <c r="G385" s="174">
        <f>284000*1.1</f>
        <v>312400</v>
      </c>
      <c r="H385" s="62">
        <f>234000*1.1</f>
        <v>257400.00000000003</v>
      </c>
      <c r="I385" s="125">
        <f t="shared" si="20"/>
        <v>119900.00000000001</v>
      </c>
      <c r="J385" s="125">
        <f t="shared" si="21"/>
        <v>119900.00000000001</v>
      </c>
      <c r="K385" s="27"/>
    </row>
    <row r="386" spans="1:11" ht="31.5">
      <c r="A386" s="27">
        <v>11</v>
      </c>
      <c r="B386" s="3" t="s">
        <v>346</v>
      </c>
      <c r="C386" s="88" t="s">
        <v>433</v>
      </c>
      <c r="D386" s="88" t="s">
        <v>333</v>
      </c>
      <c r="E386" s="88">
        <v>5</v>
      </c>
      <c r="F386" s="46">
        <f>678000*1.1</f>
        <v>745800.00000000012</v>
      </c>
      <c r="G386" s="174">
        <f>933000*1.1</f>
        <v>1026300.0000000001</v>
      </c>
      <c r="H386" s="62">
        <f>803000*1.1</f>
        <v>883300.00000000012</v>
      </c>
      <c r="I386" s="125">
        <f t="shared" si="20"/>
        <v>745800.00000000012</v>
      </c>
      <c r="J386" s="125">
        <f t="shared" si="21"/>
        <v>3729000.0000000005</v>
      </c>
      <c r="K386" s="27"/>
    </row>
    <row r="387" spans="1:11" ht="31.5">
      <c r="A387" s="27">
        <v>12</v>
      </c>
      <c r="B387" s="3" t="s">
        <v>347</v>
      </c>
      <c r="C387" s="88" t="s">
        <v>433</v>
      </c>
      <c r="D387" s="88" t="s">
        <v>333</v>
      </c>
      <c r="E387" s="88">
        <v>5</v>
      </c>
      <c r="F387" s="46">
        <f>663000*1.1</f>
        <v>729300.00000000012</v>
      </c>
      <c r="G387" s="174">
        <f>918000*1.1</f>
        <v>1009800.0000000001</v>
      </c>
      <c r="H387" s="62">
        <f>788000*1.1</f>
        <v>866800.00000000012</v>
      </c>
      <c r="I387" s="125">
        <f t="shared" si="20"/>
        <v>729300.00000000012</v>
      </c>
      <c r="J387" s="125">
        <f t="shared" si="21"/>
        <v>3646500.0000000005</v>
      </c>
      <c r="K387" s="27"/>
    </row>
    <row r="388" spans="1:11">
      <c r="A388" s="27">
        <v>13</v>
      </c>
      <c r="B388" s="3" t="s">
        <v>348</v>
      </c>
      <c r="C388" s="88" t="s">
        <v>281</v>
      </c>
      <c r="D388" s="88" t="s">
        <v>331</v>
      </c>
      <c r="E388" s="88">
        <v>1000</v>
      </c>
      <c r="F388" s="46">
        <f>4000*1.1</f>
        <v>4400</v>
      </c>
      <c r="G388" s="174">
        <f>24000*1.1</f>
        <v>26400.000000000004</v>
      </c>
      <c r="H388" s="62">
        <f>12000*1.1</f>
        <v>13200.000000000002</v>
      </c>
      <c r="I388" s="125">
        <f t="shared" si="20"/>
        <v>4400</v>
      </c>
      <c r="J388" s="125">
        <f t="shared" si="21"/>
        <v>4400000</v>
      </c>
      <c r="K388" s="27"/>
    </row>
    <row r="389" spans="1:11">
      <c r="A389" s="27">
        <v>14</v>
      </c>
      <c r="B389" s="3" t="s">
        <v>350</v>
      </c>
      <c r="C389" s="88" t="s">
        <v>442</v>
      </c>
      <c r="D389" s="88" t="s">
        <v>349</v>
      </c>
      <c r="E389" s="88">
        <v>5</v>
      </c>
      <c r="F389" s="46">
        <f>1381000*1.1</f>
        <v>1519100.0000000002</v>
      </c>
      <c r="G389" s="174">
        <f>1636000*1.1</f>
        <v>1799600.0000000002</v>
      </c>
      <c r="H389" s="62">
        <f>1506000*1.1</f>
        <v>1656600.0000000002</v>
      </c>
      <c r="I389" s="125">
        <f t="shared" si="20"/>
        <v>1519100.0000000002</v>
      </c>
      <c r="J389" s="125">
        <f t="shared" si="21"/>
        <v>7595500.0000000009</v>
      </c>
      <c r="K389" s="27"/>
    </row>
    <row r="390" spans="1:11">
      <c r="A390" s="27">
        <v>15</v>
      </c>
      <c r="B390" s="3" t="s">
        <v>351</v>
      </c>
      <c r="C390" s="88" t="s">
        <v>281</v>
      </c>
      <c r="D390" s="88" t="s">
        <v>331</v>
      </c>
      <c r="E390" s="88">
        <v>4</v>
      </c>
      <c r="F390" s="46">
        <f>87000*1.1</f>
        <v>95700.000000000015</v>
      </c>
      <c r="G390" s="174">
        <f>187000*1.1</f>
        <v>205700.00000000003</v>
      </c>
      <c r="H390" s="62">
        <f>137000*1.1</f>
        <v>150700</v>
      </c>
      <c r="I390" s="125">
        <f t="shared" si="20"/>
        <v>95700.000000000015</v>
      </c>
      <c r="J390" s="125">
        <f t="shared" si="21"/>
        <v>382800.00000000006</v>
      </c>
      <c r="K390" s="27"/>
    </row>
    <row r="391" spans="1:11">
      <c r="A391" s="27">
        <v>16</v>
      </c>
      <c r="B391" s="3" t="s">
        <v>352</v>
      </c>
      <c r="C391" s="88" t="s">
        <v>281</v>
      </c>
      <c r="D391" s="88" t="s">
        <v>461</v>
      </c>
      <c r="E391" s="88">
        <v>6</v>
      </c>
      <c r="F391" s="46">
        <f>127000*1.1</f>
        <v>139700</v>
      </c>
      <c r="G391" s="174">
        <f>227000*1.1</f>
        <v>249700.00000000003</v>
      </c>
      <c r="H391" s="62">
        <f>177000*1.1</f>
        <v>194700.00000000003</v>
      </c>
      <c r="I391" s="125">
        <f t="shared" si="20"/>
        <v>139700</v>
      </c>
      <c r="J391" s="125">
        <f t="shared" si="21"/>
        <v>838200</v>
      </c>
      <c r="K391" s="27"/>
    </row>
    <row r="392" spans="1:11">
      <c r="A392" s="27">
        <v>17</v>
      </c>
      <c r="B392" s="3" t="s">
        <v>353</v>
      </c>
      <c r="C392" s="88" t="s">
        <v>281</v>
      </c>
      <c r="D392" s="88" t="s">
        <v>354</v>
      </c>
      <c r="E392" s="88">
        <v>200</v>
      </c>
      <c r="F392" s="46">
        <f>10000*1.1</f>
        <v>11000</v>
      </c>
      <c r="G392" s="174">
        <f>190000*1.1</f>
        <v>209000.00000000003</v>
      </c>
      <c r="H392" s="62">
        <f>60000*1.1</f>
        <v>66000</v>
      </c>
      <c r="I392" s="125">
        <f t="shared" si="20"/>
        <v>11000</v>
      </c>
      <c r="J392" s="125">
        <f t="shared" si="21"/>
        <v>2200000</v>
      </c>
      <c r="K392" s="27"/>
    </row>
    <row r="393" spans="1:11">
      <c r="A393" s="27">
        <v>18</v>
      </c>
      <c r="B393" s="3" t="s">
        <v>355</v>
      </c>
      <c r="C393" s="88" t="s">
        <v>281</v>
      </c>
      <c r="D393" s="88" t="s">
        <v>331</v>
      </c>
      <c r="E393" s="88">
        <v>4</v>
      </c>
      <c r="F393" s="46">
        <f>222000*1.1</f>
        <v>244200.00000000003</v>
      </c>
      <c r="G393" s="174">
        <f>477000*1.1</f>
        <v>524700</v>
      </c>
      <c r="H393" s="62">
        <f>347000*1.1</f>
        <v>381700.00000000006</v>
      </c>
      <c r="I393" s="125">
        <f t="shared" si="20"/>
        <v>244200.00000000003</v>
      </c>
      <c r="J393" s="125">
        <f t="shared" si="21"/>
        <v>976800.00000000012</v>
      </c>
      <c r="K393" s="27"/>
    </row>
    <row r="394" spans="1:11" ht="31.5">
      <c r="A394" s="27">
        <v>19</v>
      </c>
      <c r="B394" s="3" t="s">
        <v>356</v>
      </c>
      <c r="C394" s="88" t="s">
        <v>357</v>
      </c>
      <c r="D394" s="88" t="s">
        <v>358</v>
      </c>
      <c r="E394" s="88">
        <v>200</v>
      </c>
      <c r="F394" s="46">
        <f>25000*1.1</f>
        <v>27500.000000000004</v>
      </c>
      <c r="G394" s="174">
        <f>121000*1.1</f>
        <v>133100</v>
      </c>
      <c r="H394" s="62">
        <f>71000*1.1</f>
        <v>78100</v>
      </c>
      <c r="I394" s="125">
        <f t="shared" si="20"/>
        <v>27500.000000000004</v>
      </c>
      <c r="J394" s="125">
        <f t="shared" si="21"/>
        <v>5500000.0000000009</v>
      </c>
      <c r="K394" s="27"/>
    </row>
    <row r="395" spans="1:11">
      <c r="A395" s="27">
        <v>20</v>
      </c>
      <c r="B395" s="3" t="s">
        <v>359</v>
      </c>
      <c r="C395" s="88" t="s">
        <v>281</v>
      </c>
      <c r="D395" s="88" t="s">
        <v>339</v>
      </c>
      <c r="E395" s="88">
        <v>10</v>
      </c>
      <c r="F395" s="46">
        <f>117000*1.1</f>
        <v>128700.00000000001</v>
      </c>
      <c r="G395" s="174">
        <f>217000*1.1</f>
        <v>238700.00000000003</v>
      </c>
      <c r="H395" s="62">
        <f>167000*1.1</f>
        <v>183700.00000000003</v>
      </c>
      <c r="I395" s="125">
        <f t="shared" si="20"/>
        <v>128700.00000000001</v>
      </c>
      <c r="J395" s="125">
        <f t="shared" si="21"/>
        <v>1287000.0000000002</v>
      </c>
      <c r="K395" s="27"/>
    </row>
    <row r="396" spans="1:11">
      <c r="A396" s="27">
        <v>21</v>
      </c>
      <c r="B396" s="3" t="s">
        <v>360</v>
      </c>
      <c r="C396" s="88" t="s">
        <v>281</v>
      </c>
      <c r="D396" s="88" t="s">
        <v>331</v>
      </c>
      <c r="E396" s="88">
        <v>3</v>
      </c>
      <c r="F396" s="46">
        <f>54000*1.1</f>
        <v>59400.000000000007</v>
      </c>
      <c r="G396" s="174">
        <f>154000*1.1</f>
        <v>169400</v>
      </c>
      <c r="H396" s="62">
        <f>104000*1.1</f>
        <v>114400.00000000001</v>
      </c>
      <c r="I396" s="125">
        <f t="shared" si="20"/>
        <v>59400.000000000007</v>
      </c>
      <c r="J396" s="125">
        <f t="shared" si="21"/>
        <v>178200.00000000003</v>
      </c>
      <c r="K396" s="27"/>
    </row>
    <row r="397" spans="1:11">
      <c r="A397" s="27">
        <v>22</v>
      </c>
      <c r="B397" s="3" t="s">
        <v>361</v>
      </c>
      <c r="C397" s="88" t="s">
        <v>281</v>
      </c>
      <c r="D397" s="88" t="s">
        <v>333</v>
      </c>
      <c r="E397" s="88">
        <v>7</v>
      </c>
      <c r="F397" s="46">
        <f>174000*1.1</f>
        <v>191400.00000000003</v>
      </c>
      <c r="G397" s="174">
        <f>274000*1.1</f>
        <v>301400</v>
      </c>
      <c r="H397" s="62">
        <f>224000*1.1</f>
        <v>246400.00000000003</v>
      </c>
      <c r="I397" s="125">
        <f t="shared" si="20"/>
        <v>191400.00000000003</v>
      </c>
      <c r="J397" s="125">
        <f t="shared" si="21"/>
        <v>1339800.0000000002</v>
      </c>
      <c r="K397" s="27"/>
    </row>
    <row r="398" spans="1:11">
      <c r="A398" s="27">
        <v>23</v>
      </c>
      <c r="B398" s="3" t="s">
        <v>362</v>
      </c>
      <c r="C398" s="88" t="s">
        <v>281</v>
      </c>
      <c r="D398" s="88" t="s">
        <v>349</v>
      </c>
      <c r="E398" s="88">
        <v>6</v>
      </c>
      <c r="F398" s="46">
        <f>167000*1.1</f>
        <v>183700.00000000003</v>
      </c>
      <c r="G398" s="174">
        <f>267000*1.1</f>
        <v>293700</v>
      </c>
      <c r="H398" s="62">
        <f>217000*1.1</f>
        <v>238700.00000000003</v>
      </c>
      <c r="I398" s="125">
        <f t="shared" si="20"/>
        <v>183700.00000000003</v>
      </c>
      <c r="J398" s="125">
        <f t="shared" si="21"/>
        <v>1102200.0000000002</v>
      </c>
      <c r="K398" s="27"/>
    </row>
    <row r="399" spans="1:11">
      <c r="A399" s="27">
        <v>24</v>
      </c>
      <c r="B399" s="3" t="s">
        <v>363</v>
      </c>
      <c r="C399" s="88" t="s">
        <v>368</v>
      </c>
      <c r="D399" s="88" t="s">
        <v>333</v>
      </c>
      <c r="E399" s="88">
        <v>10</v>
      </c>
      <c r="F399" s="46">
        <f>131000*1.1</f>
        <v>144100</v>
      </c>
      <c r="G399" s="174">
        <f>231000*1.1</f>
        <v>254100.00000000003</v>
      </c>
      <c r="H399" s="62">
        <f>181000*1.1</f>
        <v>199100.00000000003</v>
      </c>
      <c r="I399" s="125">
        <f t="shared" si="20"/>
        <v>144100</v>
      </c>
      <c r="J399" s="125">
        <f t="shared" si="21"/>
        <v>1441000</v>
      </c>
      <c r="K399" s="27"/>
    </row>
    <row r="400" spans="1:11">
      <c r="A400" s="27">
        <v>25</v>
      </c>
      <c r="B400" s="3" t="s">
        <v>364</v>
      </c>
      <c r="C400" s="88" t="s">
        <v>368</v>
      </c>
      <c r="D400" s="88" t="s">
        <v>333</v>
      </c>
      <c r="E400" s="88">
        <v>10</v>
      </c>
      <c r="F400" s="46">
        <f>96000*1.1</f>
        <v>105600.00000000001</v>
      </c>
      <c r="G400" s="174">
        <f>196000*1.1</f>
        <v>215600.00000000003</v>
      </c>
      <c r="H400" s="62">
        <f>146000*1.1</f>
        <v>160600</v>
      </c>
      <c r="I400" s="125">
        <f t="shared" si="20"/>
        <v>105600.00000000001</v>
      </c>
      <c r="J400" s="125">
        <f t="shared" si="21"/>
        <v>1056000.0000000002</v>
      </c>
      <c r="K400" s="27"/>
    </row>
    <row r="401" spans="1:14" ht="31.5">
      <c r="A401" s="27">
        <v>26</v>
      </c>
      <c r="B401" s="3" t="s">
        <v>366</v>
      </c>
      <c r="C401" s="88" t="s">
        <v>357</v>
      </c>
      <c r="D401" s="88" t="s">
        <v>365</v>
      </c>
      <c r="E401" s="88">
        <v>4</v>
      </c>
      <c r="F401" s="46">
        <f>1029000*1.1</f>
        <v>1131900</v>
      </c>
      <c r="G401" s="174">
        <f>1284000*1.1</f>
        <v>1412400</v>
      </c>
      <c r="H401" s="62">
        <f>1154000*1.1</f>
        <v>1269400</v>
      </c>
      <c r="I401" s="125">
        <f t="shared" si="20"/>
        <v>1131900</v>
      </c>
      <c r="J401" s="125">
        <f t="shared" si="21"/>
        <v>4527600</v>
      </c>
      <c r="K401" s="27"/>
    </row>
    <row r="402" spans="1:14" ht="31.5">
      <c r="A402" s="27">
        <v>27</v>
      </c>
      <c r="B402" s="3" t="s">
        <v>367</v>
      </c>
      <c r="C402" s="88" t="s">
        <v>357</v>
      </c>
      <c r="D402" s="88" t="s">
        <v>365</v>
      </c>
      <c r="E402" s="88">
        <v>4</v>
      </c>
      <c r="F402" s="46">
        <f>3081000*1.1</f>
        <v>3389100.0000000005</v>
      </c>
      <c r="G402" s="174">
        <f>3336000*1.1</f>
        <v>3669600.0000000005</v>
      </c>
      <c r="H402" s="62">
        <f>3206000*1.1</f>
        <v>3526600.0000000005</v>
      </c>
      <c r="I402" s="125">
        <f t="shared" si="20"/>
        <v>3389100.0000000005</v>
      </c>
      <c r="J402" s="125">
        <f t="shared" si="21"/>
        <v>13556400.000000002</v>
      </c>
      <c r="K402" s="27"/>
    </row>
    <row r="403" spans="1:14">
      <c r="A403" s="27">
        <v>28</v>
      </c>
      <c r="B403" s="3" t="s">
        <v>369</v>
      </c>
      <c r="C403" s="88" t="s">
        <v>340</v>
      </c>
      <c r="D403" s="88" t="s">
        <v>331</v>
      </c>
      <c r="E403" s="88">
        <v>3</v>
      </c>
      <c r="F403" s="46">
        <f>39000*1.1</f>
        <v>42900</v>
      </c>
      <c r="G403" s="174">
        <f>139000*1.1</f>
        <v>152900</v>
      </c>
      <c r="H403" s="62">
        <f>89000*1.1</f>
        <v>97900.000000000015</v>
      </c>
      <c r="I403" s="125">
        <f t="shared" si="20"/>
        <v>42900</v>
      </c>
      <c r="J403" s="125">
        <f t="shared" si="21"/>
        <v>128700</v>
      </c>
      <c r="K403" s="27"/>
    </row>
    <row r="404" spans="1:14">
      <c r="A404" s="27">
        <v>29</v>
      </c>
      <c r="B404" s="3" t="s">
        <v>370</v>
      </c>
      <c r="C404" s="88" t="s">
        <v>340</v>
      </c>
      <c r="D404" s="88" t="s">
        <v>331</v>
      </c>
      <c r="E404" s="88">
        <v>3</v>
      </c>
      <c r="F404" s="46">
        <f>40000*1.1</f>
        <v>44000</v>
      </c>
      <c r="G404" s="174">
        <f>140000*1.1</f>
        <v>154000</v>
      </c>
      <c r="H404" s="62">
        <f>90000*1.1</f>
        <v>99000.000000000015</v>
      </c>
      <c r="I404" s="125">
        <f t="shared" si="20"/>
        <v>44000</v>
      </c>
      <c r="J404" s="125">
        <f t="shared" si="21"/>
        <v>132000</v>
      </c>
      <c r="K404" s="27"/>
    </row>
    <row r="405" spans="1:14">
      <c r="A405" s="27">
        <v>30</v>
      </c>
      <c r="B405" s="3" t="s">
        <v>371</v>
      </c>
      <c r="C405" s="88" t="s">
        <v>340</v>
      </c>
      <c r="D405" s="88" t="s">
        <v>331</v>
      </c>
      <c r="E405" s="88">
        <v>3</v>
      </c>
      <c r="F405" s="46">
        <f>46000*1.1</f>
        <v>50600.000000000007</v>
      </c>
      <c r="G405" s="174">
        <f>146000*1.1</f>
        <v>160600</v>
      </c>
      <c r="H405" s="62">
        <f>96000*1.1</f>
        <v>105600.00000000001</v>
      </c>
      <c r="I405" s="125">
        <f t="shared" si="20"/>
        <v>50600.000000000007</v>
      </c>
      <c r="J405" s="125">
        <f t="shared" si="21"/>
        <v>151800.00000000003</v>
      </c>
      <c r="K405" s="27"/>
    </row>
    <row r="406" spans="1:14">
      <c r="A406" s="29">
        <v>31</v>
      </c>
      <c r="B406" s="138" t="s">
        <v>372</v>
      </c>
      <c r="C406" s="139" t="s">
        <v>340</v>
      </c>
      <c r="D406" s="139" t="s">
        <v>331</v>
      </c>
      <c r="E406" s="139">
        <v>5</v>
      </c>
      <c r="F406" s="172">
        <f>74000*1.1</f>
        <v>81400</v>
      </c>
      <c r="G406" s="175">
        <f>174000*1.1</f>
        <v>191400.00000000003</v>
      </c>
      <c r="H406" s="140">
        <f>124000*1.1</f>
        <v>136400</v>
      </c>
      <c r="I406" s="132">
        <f t="shared" si="20"/>
        <v>81400</v>
      </c>
      <c r="J406" s="132">
        <f t="shared" si="21"/>
        <v>407000</v>
      </c>
      <c r="K406" s="29"/>
    </row>
    <row r="407" spans="1:14">
      <c r="A407" s="99"/>
      <c r="B407" s="99" t="s">
        <v>72</v>
      </c>
      <c r="C407" s="99"/>
      <c r="D407" s="99"/>
      <c r="E407" s="99"/>
      <c r="F407" s="99"/>
      <c r="G407" s="99"/>
      <c r="H407" s="99"/>
      <c r="I407" s="99"/>
      <c r="J407" s="69">
        <f>SUM(J376:J406)</f>
        <v>99870100</v>
      </c>
      <c r="K407" s="101"/>
    </row>
    <row r="409" spans="1:14">
      <c r="A409" s="227" t="s">
        <v>467</v>
      </c>
      <c r="B409" s="227"/>
      <c r="C409" s="227"/>
      <c r="D409" s="227"/>
      <c r="E409" s="227"/>
      <c r="F409" s="227"/>
      <c r="G409" s="227"/>
      <c r="H409" s="227"/>
      <c r="I409" s="227"/>
      <c r="J409" s="72">
        <f>J407+J371+J356+J214+J149+J83</f>
        <v>594352100</v>
      </c>
      <c r="K409" s="73" t="s">
        <v>373</v>
      </c>
      <c r="N409" s="80">
        <f>J83+J149+J214+J356+J407+J371</f>
        <v>594352100</v>
      </c>
    </row>
    <row r="410" spans="1:14">
      <c r="A410" s="74" t="str">
        <f>"(Số tiền bằng chữ: "&amp;[1]!DocSoUni(J409)&amp;" đồng chẵn./.)"</f>
        <v>(Số tiền bằng chữ: Năm trăm chín mươi bốn triệu ba trăm năm mươi hai nghìn một trăm đồng chẵn./.)</v>
      </c>
      <c r="B410" s="75"/>
      <c r="C410" s="76"/>
      <c r="D410" s="76"/>
      <c r="E410" s="76"/>
      <c r="F410" s="75"/>
      <c r="G410" s="75"/>
      <c r="H410" s="75"/>
      <c r="I410" s="75"/>
      <c r="J410" s="75"/>
      <c r="K410" s="75"/>
    </row>
    <row r="411" spans="1:14">
      <c r="A411" s="49"/>
      <c r="B411" s="77"/>
      <c r="C411" s="52"/>
      <c r="D411" s="49"/>
      <c r="E411" s="49"/>
      <c r="F411" s="80"/>
      <c r="G411" s="81"/>
      <c r="H411" s="78"/>
      <c r="I411" s="78"/>
      <c r="J411" s="78"/>
      <c r="K411" s="50"/>
    </row>
    <row r="412" spans="1:14" ht="47.25" customHeight="1">
      <c r="A412" s="228" t="s">
        <v>466</v>
      </c>
      <c r="B412" s="228"/>
      <c r="C412" s="228"/>
      <c r="D412" s="228"/>
      <c r="E412" s="228"/>
      <c r="F412" s="228"/>
      <c r="G412" s="228"/>
      <c r="H412" s="228"/>
      <c r="I412" s="228"/>
      <c r="J412" s="228"/>
      <c r="K412" s="228"/>
    </row>
  </sheetData>
  <mergeCells count="55">
    <mergeCell ref="L154:L155"/>
    <mergeCell ref="A153:L153"/>
    <mergeCell ref="A154:A155"/>
    <mergeCell ref="B154:B155"/>
    <mergeCell ref="C154:C155"/>
    <mergeCell ref="D154:D155"/>
    <mergeCell ref="E154:E155"/>
    <mergeCell ref="J154:J155"/>
    <mergeCell ref="K154:K155"/>
    <mergeCell ref="D4:K4"/>
    <mergeCell ref="A6:K6"/>
    <mergeCell ref="A7:K7"/>
    <mergeCell ref="A11:K11"/>
    <mergeCell ref="A1:C1"/>
    <mergeCell ref="D1:K1"/>
    <mergeCell ref="A2:C2"/>
    <mergeCell ref="D2:K2"/>
    <mergeCell ref="A3:C3"/>
    <mergeCell ref="F13:H13"/>
    <mergeCell ref="I13:I14"/>
    <mergeCell ref="J13:J14"/>
    <mergeCell ref="K13:K14"/>
    <mergeCell ref="A93:K93"/>
    <mergeCell ref="A13:A14"/>
    <mergeCell ref="B13:B14"/>
    <mergeCell ref="C13:C14"/>
    <mergeCell ref="D13:D14"/>
    <mergeCell ref="E13:E14"/>
    <mergeCell ref="A216:K216"/>
    <mergeCell ref="A317:B317"/>
    <mergeCell ref="A218:B218"/>
    <mergeCell ref="A358:K358"/>
    <mergeCell ref="F94:H94"/>
    <mergeCell ref="I94:I95"/>
    <mergeCell ref="J94:J95"/>
    <mergeCell ref="K94:K95"/>
    <mergeCell ref="F154:H154"/>
    <mergeCell ref="I154:I155"/>
    <mergeCell ref="A94:A95"/>
    <mergeCell ref="B94:B95"/>
    <mergeCell ref="C94:C95"/>
    <mergeCell ref="D94:D95"/>
    <mergeCell ref="E94:E95"/>
    <mergeCell ref="A409:I409"/>
    <mergeCell ref="A412:K412"/>
    <mergeCell ref="A373:K373"/>
    <mergeCell ref="A374:A375"/>
    <mergeCell ref="B374:B375"/>
    <mergeCell ref="C374:C375"/>
    <mergeCell ref="D374:D375"/>
    <mergeCell ref="E374:E375"/>
    <mergeCell ref="F374:H374"/>
    <mergeCell ref="I374:I375"/>
    <mergeCell ref="J374:J375"/>
    <mergeCell ref="K374:K375"/>
  </mergeCells>
  <pageMargins left="0.2" right="0" top="0.75" bottom="0.5"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Chủ trương</vt:lpstr>
      <vt:lpstr>MT 3-4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Mrs Hoi.</dc:creator>
  <cp:lastModifiedBy>admin</cp:lastModifiedBy>
  <cp:lastPrinted>2020-06-29T03:36:37Z</cp:lastPrinted>
  <dcterms:created xsi:type="dcterms:W3CDTF">2020-02-14T03:22:49Z</dcterms:created>
  <dcterms:modified xsi:type="dcterms:W3CDTF">2020-06-29T03:40:27Z</dcterms:modified>
</cp:coreProperties>
</file>